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Andrew\Contributions\Templates\"/>
    </mc:Choice>
  </mc:AlternateContent>
  <xr:revisionPtr revIDLastSave="0" documentId="8_{96B508DF-4C71-4A96-9977-49000BF4808A}" xr6:coauthVersionLast="47" xr6:coauthVersionMax="47" xr10:uidLastSave="{00000000-0000-0000-0000-000000000000}"/>
  <bookViews>
    <workbookView xWindow="-120" yWindow="-120" windowWidth="29040" windowHeight="15840" tabRatio="900" xr2:uid="{00000000-000D-0000-FFFF-FFFF00000000}"/>
  </bookViews>
  <sheets>
    <sheet name="Contents" sheetId="1" r:id="rId1"/>
    <sheet name="Cust water" sheetId="2" r:id="rId2"/>
    <sheet name="Fernside water" sheetId="3" r:id="rId3"/>
    <sheet name="Garrymere water" sheetId="4" r:id="rId4"/>
    <sheet name="Kaiapoi water" sheetId="5" r:id="rId5"/>
    <sheet name="North East Kaiapoi water" sheetId="6" r:id="rId6"/>
    <sheet name="ENE Kaiapoi water" sheetId="75" r:id="rId7"/>
    <sheet name="West Kaiapoi water" sheetId="7" r:id="rId8"/>
    <sheet name="Mandeville water" sheetId="8" r:id="rId9"/>
    <sheet name="Ohoka water" sheetId="9" r:id="rId10"/>
    <sheet name="Oxford water" sheetId="10" r:id="rId11"/>
    <sheet name="Oxford 1 water" sheetId="11" r:id="rId12"/>
    <sheet name="Oxford 2 water" sheetId="12" r:id="rId13"/>
    <sheet name="Poyntzs Rd water" sheetId="13" r:id="rId14"/>
    <sheet name="Rangiora water" sheetId="14" r:id="rId15"/>
    <sheet name="East Rangiora water" sheetId="15" r:id="rId16"/>
    <sheet name="North Rangiora water" sheetId="16" r:id="rId17"/>
    <sheet name="West Rangiora water" sheetId="17" r:id="rId18"/>
    <sheet name="Outer East Rangiora water" sheetId="68" r:id="rId19"/>
    <sheet name="Summerhill water" sheetId="19" r:id="rId20"/>
    <sheet name="Tuahiwi water" sheetId="20" r:id="rId21"/>
    <sheet name="Waikuku water" sheetId="21" r:id="rId22"/>
    <sheet name="Southbrook water" sheetId="18" r:id="rId23"/>
    <sheet name="West Eyreton water" sheetId="22" r:id="rId24"/>
    <sheet name="Woodend water" sheetId="23" r:id="rId25"/>
    <sheet name="Woodend Tuahiwi water" sheetId="24" r:id="rId26"/>
    <sheet name="Ocean Outfall sewer" sheetId="25" r:id="rId27"/>
    <sheet name="Kaiapoi sewer" sheetId="26" r:id="rId28"/>
    <sheet name="Nth Kaiapoi SPA sewer" sheetId="27" r:id="rId29"/>
    <sheet name="East Nth East Kaiapoi sewer" sheetId="28" r:id="rId30"/>
    <sheet name="West Kaiapoi SPA sewer" sheetId="29" r:id="rId31"/>
    <sheet name="Mandeville Ohoka Swannanoa" sheetId="30" r:id="rId32"/>
    <sheet name="Oxford Sewer" sheetId="31" r:id="rId33"/>
    <sheet name="Rangiora Sewer" sheetId="32" r:id="rId34"/>
    <sheet name="East Rangiora Sewer" sheetId="33" r:id="rId35"/>
    <sheet name="Outer East Rangiora Sewer" sheetId="69" r:id="rId36"/>
    <sheet name="North Rangiora Sewer" sheetId="34" r:id="rId37"/>
    <sheet name="Inner West Rangiora Sewer" sheetId="35" r:id="rId38"/>
    <sheet name="Outer West Rangiora Sewer" sheetId="36" r:id="rId39"/>
    <sheet name="Southbrook Sewer" sheetId="37" r:id="rId40"/>
    <sheet name="Todds Rd Sewer" sheetId="38" r:id="rId41"/>
    <sheet name="Fernside" sheetId="66" r:id="rId42"/>
    <sheet name="Tuahiwi" sheetId="65" r:id="rId43"/>
    <sheet name="Waikuku Sewer" sheetId="39" r:id="rId44"/>
    <sheet name="Woodend sewer" sheetId="40" r:id="rId45"/>
    <sheet name="East Woodend sewer" sheetId="41" r:id="rId46"/>
    <sheet name="Loburn Lea Sewer" sheetId="70" r:id="rId47"/>
    <sheet name="Coastal Urban Drainage" sheetId="43" r:id="rId48"/>
    <sheet name="Kaiapoi Drainage" sheetId="44" r:id="rId49"/>
    <sheet name="Kaiapoi Area A Drainage" sheetId="45" r:id="rId50"/>
    <sheet name="East North East Kaiapoi" sheetId="71" r:id="rId51"/>
    <sheet name="Kaiapoi Area E Drainage" sheetId="46" r:id="rId52"/>
    <sheet name="Rangiora Drainage" sheetId="47" r:id="rId53"/>
    <sheet name="East Rangiora Drainage" sheetId="48" r:id="rId54"/>
    <sheet name="Sth West Rangiora Drainage" sheetId="49" r:id="rId55"/>
    <sheet name="Nth Rangiora Drainage" sheetId="50" r:id="rId56"/>
    <sheet name="Mill Road ODP" sheetId="64" r:id="rId57"/>
    <sheet name="Southbrook Drainage" sheetId="51" r:id="rId58"/>
    <sheet name="Todds Rd Drainage" sheetId="52" r:id="rId59"/>
    <sheet name="East Woodend Drainage" sheetId="53" r:id="rId60"/>
    <sheet name="Woodend SPA Drainage" sheetId="54" r:id="rId61"/>
    <sheet name="Dist Roading" sheetId="55" r:id="rId62"/>
    <sheet name="North Kaiapoi Roading" sheetId="56" r:id="rId63"/>
    <sheet name="West Kaiapoi Roading" sheetId="57" r:id="rId64"/>
    <sheet name="Kaiapoi South MUBA " sheetId="73" r:id="rId65"/>
    <sheet name="Kaiapoi East MUBA " sheetId="74" r:id="rId66"/>
    <sheet name="Sth West Rangiora Roading" sheetId="58" r:id="rId67"/>
    <sheet name="Outer East Rangiora Roading" sheetId="72" r:id="rId68"/>
    <sheet name="West Rangiora Roading" sheetId="59" r:id="rId69"/>
    <sheet name="Southbrook Roading" sheetId="60" r:id="rId70"/>
    <sheet name="East Woodend Roading" sheetId="61" r:id="rId71"/>
    <sheet name="Reserves" sheetId="62" r:id="rId72"/>
  </sheets>
  <definedNames>
    <definedName name="_xlnm.Print_Area" localSheetId="0">Contents!$A$1:$C$89</definedName>
    <definedName name="_xlnm.Print_Area" localSheetId="61">'Dist Roading'!$A$1:$I$135</definedName>
    <definedName name="_xlnm.Print_Titles" localSheetId="0">Contents!$1:$4</definedName>
    <definedName name="Z_E62C39C8_EAA6_407C_933E_B5BB52ED1B14_.wvu.Cols" localSheetId="0" hidden="1">Contents!#REF!,Contents!#REF!</definedName>
    <definedName name="Z_E62C39C8_EAA6_407C_933E_B5BB52ED1B14_.wvu.PrintArea" localSheetId="0" hidden="1">Contents!$A$1:$C$89</definedName>
    <definedName name="Z_E62C39C8_EAA6_407C_933E_B5BB52ED1B14_.wvu.PrintTitles" localSheetId="0" hidden="1">Contents!$1:$4</definedName>
  </definedNames>
  <calcPr calcId="191029"/>
  <customWorkbookViews>
    <customWorkbookView name="Kelly LaValley - Personal View" guid="{E62C39C8-EAA6-407C-933E-B5BB52ED1B14}" mergeInterval="0" personalView="1" maximized="1" windowWidth="1600" windowHeight="707" activeSheetId="2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62" l="1"/>
  <c r="F46" i="14"/>
  <c r="F21" i="15"/>
  <c r="C23" i="62"/>
  <c r="F9" i="4"/>
  <c r="F11" i="3"/>
  <c r="F23" i="62" l="1"/>
  <c r="G23" i="62" s="1"/>
  <c r="C85" i="1"/>
  <c r="B23" i="72" l="1"/>
  <c r="B25" i="72"/>
  <c r="E25" i="72" s="1"/>
  <c r="C92" i="55"/>
  <c r="E29" i="72" l="1"/>
  <c r="F25" i="72"/>
  <c r="F29" i="72" s="1"/>
  <c r="C25" i="72"/>
  <c r="D16" i="62" l="1"/>
  <c r="D15" i="62"/>
  <c r="D14" i="62"/>
  <c r="B14" i="24" l="1"/>
  <c r="B15" i="24" s="1"/>
  <c r="B19" i="23"/>
  <c r="B14" i="65" l="1"/>
  <c r="D13" i="62" l="1"/>
  <c r="B26" i="23"/>
  <c r="B13" i="10"/>
  <c r="E13" i="8"/>
  <c r="B10" i="8"/>
  <c r="B11" i="32"/>
  <c r="B12" i="32"/>
  <c r="B14" i="32" s="1"/>
  <c r="B14" i="49"/>
  <c r="B29" i="57"/>
  <c r="B94" i="55"/>
  <c r="C121" i="55"/>
  <c r="C91" i="55"/>
  <c r="E91" i="55" s="1"/>
  <c r="G91" i="55" s="1"/>
  <c r="H91" i="55" s="1"/>
  <c r="C76" i="55"/>
  <c r="D76" i="55" s="1"/>
  <c r="E76" i="55" s="1"/>
  <c r="G76" i="55" s="1"/>
  <c r="H76" i="55" s="1"/>
  <c r="C59" i="55"/>
  <c r="D59" i="55" s="1"/>
  <c r="E59" i="55" s="1"/>
  <c r="G59" i="55" s="1"/>
  <c r="H59" i="55" s="1"/>
  <c r="G119" i="55"/>
  <c r="H119" i="55" s="1"/>
  <c r="G120" i="55"/>
  <c r="H120" i="55" s="1"/>
  <c r="G77" i="55"/>
  <c r="H77" i="55" s="1"/>
  <c r="G79" i="55"/>
  <c r="H79" i="55" s="1"/>
  <c r="D129" i="55"/>
  <c r="C128" i="55"/>
  <c r="C126" i="55"/>
  <c r="C125" i="55"/>
  <c r="C124" i="55"/>
  <c r="C123" i="55"/>
  <c r="C122" i="55"/>
  <c r="C118" i="55"/>
  <c r="E118" i="55" s="1"/>
  <c r="G118" i="55" s="1"/>
  <c r="H118" i="55" s="1"/>
  <c r="C117" i="55"/>
  <c r="E117" i="55" s="1"/>
  <c r="G117" i="55" s="1"/>
  <c r="H117" i="55" s="1"/>
  <c r="C116" i="55"/>
  <c r="C115" i="55"/>
  <c r="C114" i="55"/>
  <c r="C113" i="55"/>
  <c r="C112" i="55"/>
  <c r="C111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8" i="55"/>
  <c r="C90" i="55"/>
  <c r="C89" i="55"/>
  <c r="C33" i="55"/>
  <c r="D33" i="55" s="1"/>
  <c r="E33" i="55" s="1"/>
  <c r="G33" i="55" s="1"/>
  <c r="H33" i="55" s="1"/>
  <c r="C34" i="55"/>
  <c r="D34" i="55" s="1"/>
  <c r="E34" i="55" s="1"/>
  <c r="G34" i="55" s="1"/>
  <c r="H34" i="55" s="1"/>
  <c r="C35" i="55"/>
  <c r="D35" i="55" s="1"/>
  <c r="C36" i="55"/>
  <c r="D36" i="55" s="1"/>
  <c r="E36" i="55" s="1"/>
  <c r="G36" i="55" s="1"/>
  <c r="H36" i="55" s="1"/>
  <c r="C37" i="55"/>
  <c r="D37" i="55" s="1"/>
  <c r="E37" i="55" s="1"/>
  <c r="G37" i="55" s="1"/>
  <c r="H37" i="55" s="1"/>
  <c r="C38" i="55"/>
  <c r="D38" i="55" s="1"/>
  <c r="C39" i="55"/>
  <c r="D39" i="55" s="1"/>
  <c r="E39" i="55" s="1"/>
  <c r="G39" i="55" s="1"/>
  <c r="H39" i="55" s="1"/>
  <c r="C40" i="55"/>
  <c r="D40" i="55" s="1"/>
  <c r="E40" i="55" s="1"/>
  <c r="G40" i="55" s="1"/>
  <c r="H40" i="55" s="1"/>
  <c r="C41" i="55"/>
  <c r="D41" i="55" s="1"/>
  <c r="E41" i="55" s="1"/>
  <c r="G41" i="55" s="1"/>
  <c r="H41" i="55" s="1"/>
  <c r="C42" i="55"/>
  <c r="D42" i="55" s="1"/>
  <c r="C43" i="55"/>
  <c r="D43" i="55" s="1"/>
  <c r="C44" i="55"/>
  <c r="D44" i="55" s="1"/>
  <c r="E44" i="55" s="1"/>
  <c r="G44" i="55" s="1"/>
  <c r="H44" i="55" s="1"/>
  <c r="C45" i="55"/>
  <c r="D45" i="55" s="1"/>
  <c r="E45" i="55" s="1"/>
  <c r="G45" i="55" s="1"/>
  <c r="H45" i="55" s="1"/>
  <c r="C46" i="55"/>
  <c r="D46" i="55" s="1"/>
  <c r="C47" i="55"/>
  <c r="D47" i="55" s="1"/>
  <c r="E47" i="55" s="1"/>
  <c r="G47" i="55" s="1"/>
  <c r="H47" i="55" s="1"/>
  <c r="C48" i="55"/>
  <c r="D48" i="55" s="1"/>
  <c r="E48" i="55" s="1"/>
  <c r="G48" i="55" s="1"/>
  <c r="H48" i="55" s="1"/>
  <c r="C49" i="55"/>
  <c r="D49" i="55" s="1"/>
  <c r="E49" i="55" s="1"/>
  <c r="G49" i="55" s="1"/>
  <c r="H49" i="55" s="1"/>
  <c r="C50" i="55"/>
  <c r="D50" i="55" s="1"/>
  <c r="E50" i="55" s="1"/>
  <c r="G50" i="55" s="1"/>
  <c r="H50" i="55" s="1"/>
  <c r="C51" i="55"/>
  <c r="D51" i="55" s="1"/>
  <c r="C32" i="55"/>
  <c r="D32" i="55" s="1"/>
  <c r="E32" i="55" s="1"/>
  <c r="G32" i="55" s="1"/>
  <c r="H32" i="55" s="1"/>
  <c r="C10" i="55"/>
  <c r="D10" i="55" s="1"/>
  <c r="C11" i="55"/>
  <c r="D11" i="55" s="1"/>
  <c r="C12" i="55"/>
  <c r="D12" i="55" s="1"/>
  <c r="C13" i="55"/>
  <c r="D13" i="55" s="1"/>
  <c r="E13" i="55" s="1"/>
  <c r="G13" i="55" s="1"/>
  <c r="H13" i="55" s="1"/>
  <c r="C14" i="55"/>
  <c r="D14" i="55" s="1"/>
  <c r="E14" i="55" s="1"/>
  <c r="G14" i="55" s="1"/>
  <c r="H14" i="55" s="1"/>
  <c r="C15" i="55"/>
  <c r="D15" i="55" s="1"/>
  <c r="C16" i="55"/>
  <c r="D16" i="55" s="1"/>
  <c r="E16" i="55" s="1"/>
  <c r="G16" i="55" s="1"/>
  <c r="H16" i="55" s="1"/>
  <c r="C17" i="55"/>
  <c r="D17" i="55" s="1"/>
  <c r="C18" i="55"/>
  <c r="D18" i="55" s="1"/>
  <c r="C19" i="55"/>
  <c r="D19" i="55" s="1"/>
  <c r="C20" i="55"/>
  <c r="D20" i="55" s="1"/>
  <c r="C21" i="55"/>
  <c r="D21" i="55" s="1"/>
  <c r="E21" i="55" s="1"/>
  <c r="G21" i="55" s="1"/>
  <c r="H21" i="55" s="1"/>
  <c r="C22" i="55"/>
  <c r="D22" i="55" s="1"/>
  <c r="E22" i="55" s="1"/>
  <c r="G22" i="55" s="1"/>
  <c r="H22" i="55" s="1"/>
  <c r="C23" i="55"/>
  <c r="D23" i="55" s="1"/>
  <c r="C24" i="55"/>
  <c r="D24" i="55" s="1"/>
  <c r="E24" i="55" s="1"/>
  <c r="G24" i="55" s="1"/>
  <c r="H24" i="55" s="1"/>
  <c r="C25" i="55"/>
  <c r="D25" i="55" s="1"/>
  <c r="C26" i="55"/>
  <c r="D26" i="55" s="1"/>
  <c r="C27" i="55"/>
  <c r="D27" i="55" s="1"/>
  <c r="C28" i="55"/>
  <c r="D28" i="55" s="1"/>
  <c r="C29" i="55"/>
  <c r="D29" i="55" s="1"/>
  <c r="E29" i="55" s="1"/>
  <c r="G29" i="55" s="1"/>
  <c r="H29" i="55" s="1"/>
  <c r="D9" i="39"/>
  <c r="B15" i="70"/>
  <c r="B8" i="66"/>
  <c r="C8" i="66" s="1"/>
  <c r="B29" i="32"/>
  <c r="E92" i="55" l="1"/>
  <c r="E42" i="55"/>
  <c r="G42" i="55" s="1"/>
  <c r="H42" i="55" s="1"/>
  <c r="E51" i="55"/>
  <c r="G51" i="55" s="1"/>
  <c r="H51" i="55" s="1"/>
  <c r="E46" i="55"/>
  <c r="G46" i="55" s="1"/>
  <c r="H46" i="55" s="1"/>
  <c r="E38" i="55"/>
  <c r="G38" i="55" s="1"/>
  <c r="H38" i="55" s="1"/>
  <c r="E43" i="55"/>
  <c r="G43" i="55" s="1"/>
  <c r="H43" i="55" s="1"/>
  <c r="E35" i="55"/>
  <c r="G35" i="55" s="1"/>
  <c r="H35" i="55" s="1"/>
  <c r="E25" i="55"/>
  <c r="G25" i="55" s="1"/>
  <c r="H25" i="55" s="1"/>
  <c r="E20" i="55"/>
  <c r="G20" i="55" s="1"/>
  <c r="H20" i="55" s="1"/>
  <c r="E17" i="55"/>
  <c r="G17" i="55" s="1"/>
  <c r="H17" i="55" s="1"/>
  <c r="E28" i="55"/>
  <c r="G28" i="55" s="1"/>
  <c r="H28" i="55" s="1"/>
  <c r="E12" i="55"/>
  <c r="G12" i="55" s="1"/>
  <c r="H12" i="55" s="1"/>
  <c r="E27" i="55"/>
  <c r="G27" i="55" s="1"/>
  <c r="H27" i="55" s="1"/>
  <c r="E19" i="55"/>
  <c r="G19" i="55" s="1"/>
  <c r="H19" i="55" s="1"/>
  <c r="E11" i="55"/>
  <c r="G11" i="55" s="1"/>
  <c r="H11" i="55" s="1"/>
  <c r="E26" i="55"/>
  <c r="G26" i="55" s="1"/>
  <c r="H26" i="55" s="1"/>
  <c r="E18" i="55"/>
  <c r="G18" i="55" s="1"/>
  <c r="H18" i="55" s="1"/>
  <c r="E10" i="55"/>
  <c r="G10" i="55" s="1"/>
  <c r="H10" i="55" s="1"/>
  <c r="E23" i="55"/>
  <c r="G23" i="55" s="1"/>
  <c r="H23" i="55" s="1"/>
  <c r="E15" i="55"/>
  <c r="G15" i="55" s="1"/>
  <c r="H15" i="55" s="1"/>
  <c r="G92" i="55" l="1"/>
  <c r="H92" i="55" s="1"/>
  <c r="B24" i="30"/>
  <c r="B25" i="30"/>
  <c r="B23" i="30"/>
  <c r="B22" i="30"/>
  <c r="B21" i="30"/>
  <c r="C15" i="24" l="1"/>
  <c r="E15" i="24" s="1"/>
  <c r="F15" i="24" s="1"/>
  <c r="B14" i="23"/>
  <c r="C19" i="23"/>
  <c r="E19" i="23" s="1"/>
  <c r="F19" i="23" s="1"/>
  <c r="B20" i="68" l="1"/>
  <c r="B10" i="14"/>
  <c r="C11" i="13"/>
  <c r="F13" i="8" l="1"/>
  <c r="C13" i="8"/>
  <c r="B15" i="7"/>
  <c r="A3" i="13" l="1"/>
  <c r="A3" i="12"/>
  <c r="A3" i="11"/>
  <c r="A3" i="10"/>
  <c r="A3" i="9"/>
  <c r="A3" i="8"/>
  <c r="A3" i="7"/>
  <c r="A3" i="75"/>
  <c r="A3" i="6"/>
  <c r="A3" i="5"/>
  <c r="A3" i="4"/>
  <c r="A3" i="3"/>
  <c r="B11" i="19" l="1"/>
  <c r="B14" i="17" l="1"/>
  <c r="D21" i="17" l="1"/>
  <c r="E128" i="55" l="1"/>
  <c r="G128" i="55" s="1"/>
  <c r="H128" i="55" s="1"/>
  <c r="B9" i="75" l="1"/>
  <c r="B8" i="75"/>
  <c r="C55" i="55" l="1"/>
  <c r="E8" i="56" l="1"/>
  <c r="F8" i="56" s="1"/>
  <c r="E116" i="55"/>
  <c r="G116" i="55" s="1"/>
  <c r="H116" i="55" s="1"/>
  <c r="E115" i="55"/>
  <c r="G115" i="55" s="1"/>
  <c r="H115" i="55" s="1"/>
  <c r="E114" i="55"/>
  <c r="G114" i="55" s="1"/>
  <c r="H114" i="55" s="1"/>
  <c r="E113" i="55"/>
  <c r="G113" i="55" s="1"/>
  <c r="H113" i="55" s="1"/>
  <c r="E112" i="55"/>
  <c r="G112" i="55" s="1"/>
  <c r="H112" i="55" s="1"/>
  <c r="E111" i="55"/>
  <c r="G111" i="55" s="1"/>
  <c r="H111" i="55" s="1"/>
  <c r="E110" i="55"/>
  <c r="G110" i="55" s="1"/>
  <c r="H110" i="55" s="1"/>
  <c r="E109" i="55"/>
  <c r="G109" i="55" s="1"/>
  <c r="H109" i="55" s="1"/>
  <c r="E108" i="55" l="1"/>
  <c r="G108" i="55" s="1"/>
  <c r="H108" i="55" s="1"/>
  <c r="E107" i="55"/>
  <c r="G107" i="55" s="1"/>
  <c r="H107" i="55" s="1"/>
  <c r="E106" i="55"/>
  <c r="G106" i="55" s="1"/>
  <c r="H106" i="55" s="1"/>
  <c r="C75" i="55" l="1"/>
  <c r="C88" i="55"/>
  <c r="D75" i="55" l="1"/>
  <c r="E75" i="55" s="1"/>
  <c r="G75" i="55" s="1"/>
  <c r="H75" i="55" s="1"/>
  <c r="C12" i="51" l="1"/>
  <c r="E12" i="51"/>
  <c r="F12" i="51" s="1"/>
  <c r="B16" i="51"/>
  <c r="B34" i="14" l="1"/>
  <c r="C9" i="12"/>
  <c r="C8" i="12"/>
  <c r="B11" i="75" l="1"/>
  <c r="E11" i="75" s="1"/>
  <c r="B10" i="5" l="1"/>
  <c r="E14" i="64" l="1"/>
  <c r="F14" i="64" s="1"/>
  <c r="C14" i="64"/>
  <c r="B23" i="14" l="1"/>
  <c r="B14" i="12"/>
  <c r="B9" i="7"/>
  <c r="C66" i="55" l="1"/>
  <c r="B10" i="71" l="1"/>
  <c r="B13" i="66" l="1"/>
  <c r="E90" i="55" l="1"/>
  <c r="G90" i="55" s="1"/>
  <c r="H90" i="55" s="1"/>
  <c r="C30" i="55"/>
  <c r="B14" i="69" l="1"/>
  <c r="C9" i="36"/>
  <c r="C10" i="36" l="1"/>
  <c r="C11" i="36"/>
  <c r="B14" i="75" l="1"/>
  <c r="E14" i="75" s="1"/>
  <c r="F14" i="75" s="1"/>
  <c r="C11" i="75"/>
  <c r="E17" i="75" l="1"/>
  <c r="F11" i="75"/>
  <c r="F17" i="75" s="1"/>
  <c r="C11" i="1" s="1"/>
  <c r="B12" i="25" l="1"/>
  <c r="C11" i="25"/>
  <c r="C23" i="25"/>
  <c r="C24" i="25"/>
  <c r="B32" i="23" l="1"/>
  <c r="C32" i="23" s="1"/>
  <c r="E32" i="23" s="1"/>
  <c r="F32" i="23" s="1"/>
  <c r="C17" i="62" l="1"/>
  <c r="C14" i="17" l="1"/>
  <c r="B12" i="18"/>
  <c r="E14" i="17" l="1"/>
  <c r="F14" i="17" s="1"/>
  <c r="B9" i="74"/>
  <c r="A3" i="74"/>
  <c r="C9" i="74" l="1"/>
  <c r="E9" i="74"/>
  <c r="F9" i="74" s="1"/>
  <c r="F11" i="74" s="1"/>
  <c r="C83" i="1" s="1"/>
  <c r="E11" i="74" l="1"/>
  <c r="B9" i="73"/>
  <c r="C9" i="73" s="1"/>
  <c r="A3" i="73"/>
  <c r="B13" i="72"/>
  <c r="E13" i="72" s="1"/>
  <c r="A3" i="72"/>
  <c r="B16" i="59"/>
  <c r="C16" i="59" s="1"/>
  <c r="B12" i="36"/>
  <c r="E9" i="73" l="1"/>
  <c r="E17" i="72"/>
  <c r="F13" i="72"/>
  <c r="F17" i="72" s="1"/>
  <c r="C84" i="1" s="1"/>
  <c r="C13" i="72"/>
  <c r="E16" i="59"/>
  <c r="F16" i="59" s="1"/>
  <c r="E11" i="73" l="1"/>
  <c r="F9" i="73"/>
  <c r="F11" i="73" s="1"/>
  <c r="C82" i="1" s="1"/>
  <c r="E105" i="55" l="1"/>
  <c r="G105" i="55" s="1"/>
  <c r="H105" i="55" s="1"/>
  <c r="E104" i="55"/>
  <c r="G104" i="55" s="1"/>
  <c r="H104" i="55" s="1"/>
  <c r="C87" i="55"/>
  <c r="E87" i="55" s="1"/>
  <c r="G87" i="55" s="1"/>
  <c r="H87" i="55" s="1"/>
  <c r="C86" i="55"/>
  <c r="E86" i="55" s="1"/>
  <c r="G86" i="55" s="1"/>
  <c r="H86" i="55" s="1"/>
  <c r="C85" i="55"/>
  <c r="E85" i="55" s="1"/>
  <c r="G85" i="55" s="1"/>
  <c r="H85" i="55" s="1"/>
  <c r="C84" i="55"/>
  <c r="E84" i="55" s="1"/>
  <c r="G84" i="55" s="1"/>
  <c r="H84" i="55" s="1"/>
  <c r="C83" i="55"/>
  <c r="E83" i="55" s="1"/>
  <c r="G83" i="55" s="1"/>
  <c r="H83" i="55" s="1"/>
  <c r="C82" i="55"/>
  <c r="E82" i="55" s="1"/>
  <c r="G82" i="55" s="1"/>
  <c r="H82" i="55" s="1"/>
  <c r="C74" i="55"/>
  <c r="D74" i="55" s="1"/>
  <c r="C73" i="55"/>
  <c r="D73" i="55" s="1"/>
  <c r="C72" i="55"/>
  <c r="D72" i="55" s="1"/>
  <c r="C71" i="55"/>
  <c r="C70" i="55"/>
  <c r="C69" i="55"/>
  <c r="C68" i="55"/>
  <c r="C67" i="55"/>
  <c r="C65" i="55"/>
  <c r="C64" i="55"/>
  <c r="D64" i="55" s="1"/>
  <c r="C63" i="55"/>
  <c r="D63" i="55" s="1"/>
  <c r="C62" i="55"/>
  <c r="C61" i="55"/>
  <c r="C60" i="55"/>
  <c r="C56" i="55"/>
  <c r="C54" i="55"/>
  <c r="D54" i="55" s="1"/>
  <c r="C53" i="55"/>
  <c r="C52" i="55"/>
  <c r="E74" i="55" l="1"/>
  <c r="G74" i="55" s="1"/>
  <c r="H74" i="55" s="1"/>
  <c r="E73" i="55"/>
  <c r="G73" i="55" s="1"/>
  <c r="H73" i="55" s="1"/>
  <c r="E72" i="55"/>
  <c r="G72" i="55" s="1"/>
  <c r="H72" i="55" s="1"/>
  <c r="D71" i="55"/>
  <c r="E71" i="55" s="1"/>
  <c r="G71" i="55" s="1"/>
  <c r="H71" i="55" s="1"/>
  <c r="D70" i="55"/>
  <c r="E70" i="55" s="1"/>
  <c r="G70" i="55" s="1"/>
  <c r="H70" i="55" s="1"/>
  <c r="D69" i="55"/>
  <c r="E69" i="55" s="1"/>
  <c r="G69" i="55" s="1"/>
  <c r="H69" i="55" s="1"/>
  <c r="D68" i="55"/>
  <c r="E68" i="55" s="1"/>
  <c r="G68" i="55" s="1"/>
  <c r="H68" i="55" s="1"/>
  <c r="D67" i="55"/>
  <c r="E67" i="55" s="1"/>
  <c r="G67" i="55" s="1"/>
  <c r="H67" i="55" s="1"/>
  <c r="D66" i="55"/>
  <c r="E66" i="55" s="1"/>
  <c r="G66" i="55" s="1"/>
  <c r="H66" i="55" s="1"/>
  <c r="D65" i="55"/>
  <c r="E65" i="55" s="1"/>
  <c r="G65" i="55" s="1"/>
  <c r="H65" i="55" s="1"/>
  <c r="E64" i="55"/>
  <c r="G64" i="55" s="1"/>
  <c r="H64" i="55" s="1"/>
  <c r="E63" i="55"/>
  <c r="G63" i="55" s="1"/>
  <c r="H63" i="55" s="1"/>
  <c r="D62" i="55"/>
  <c r="E62" i="55" s="1"/>
  <c r="G62" i="55" s="1"/>
  <c r="H62" i="55" s="1"/>
  <c r="D61" i="55"/>
  <c r="E61" i="55" s="1"/>
  <c r="G61" i="55" s="1"/>
  <c r="H61" i="55" s="1"/>
  <c r="D60" i="55"/>
  <c r="E60" i="55" s="1"/>
  <c r="G60" i="55" s="1"/>
  <c r="H60" i="55" s="1"/>
  <c r="E54" i="55"/>
  <c r="G54" i="55" s="1"/>
  <c r="H54" i="55" s="1"/>
  <c r="E10" i="71" l="1"/>
  <c r="A3" i="71"/>
  <c r="F10" i="71" l="1"/>
  <c r="F13" i="71" s="1"/>
  <c r="C71" i="1" s="1"/>
  <c r="E13" i="71"/>
  <c r="C10" i="71"/>
  <c r="E9" i="70" l="1"/>
  <c r="F9" i="70" s="1"/>
  <c r="C15" i="70"/>
  <c r="A3" i="70"/>
  <c r="C9" i="70" l="1"/>
  <c r="E15" i="70"/>
  <c r="E17" i="70" s="1"/>
  <c r="B10" i="20"/>
  <c r="F15" i="70" l="1"/>
  <c r="F17" i="70" s="1"/>
  <c r="C55" i="1" s="1"/>
  <c r="B15" i="34"/>
  <c r="C14" i="69"/>
  <c r="E14" i="69"/>
  <c r="B23" i="33"/>
  <c r="A3" i="69"/>
  <c r="F14" i="69" l="1"/>
  <c r="F20" i="69" s="1"/>
  <c r="E20" i="69"/>
  <c r="B18" i="69"/>
  <c r="C43" i="1" l="1"/>
  <c r="C13" i="32" l="1"/>
  <c r="C12" i="31"/>
  <c r="B19" i="24" l="1"/>
  <c r="B18" i="24"/>
  <c r="B20" i="24"/>
  <c r="B15" i="22"/>
  <c r="C15" i="22" s="1"/>
  <c r="B18" i="22"/>
  <c r="B12" i="19"/>
  <c r="E15" i="22" l="1"/>
  <c r="F15" i="22" s="1"/>
  <c r="E20" i="68" l="1"/>
  <c r="E22" i="68" s="1"/>
  <c r="A3" i="68"/>
  <c r="F20" i="68" l="1"/>
  <c r="F22" i="68" s="1"/>
  <c r="C24" i="1" s="1"/>
  <c r="C20" i="68"/>
  <c r="C10" i="14" l="1"/>
  <c r="E10" i="14" l="1"/>
  <c r="F10" i="14" l="1"/>
  <c r="B22" i="12"/>
  <c r="C12" i="12"/>
  <c r="C13" i="12"/>
  <c r="B9" i="11"/>
  <c r="B24" i="8"/>
  <c r="E21" i="8"/>
  <c r="F21" i="8" s="1"/>
  <c r="E17" i="8"/>
  <c r="F17" i="8" s="1"/>
  <c r="E18" i="8"/>
  <c r="A3" i="36" l="1"/>
  <c r="A3" i="35"/>
  <c r="A3" i="34"/>
  <c r="A3" i="33"/>
  <c r="B9" i="4"/>
  <c r="E9" i="4" s="1"/>
  <c r="B9" i="2"/>
  <c r="D10" i="62" l="1"/>
  <c r="D17" i="62" s="1"/>
  <c r="C127" i="55" l="1"/>
  <c r="E127" i="55" s="1"/>
  <c r="G127" i="55" s="1"/>
  <c r="H127" i="55" s="1"/>
  <c r="E126" i="55"/>
  <c r="G126" i="55" s="1"/>
  <c r="H126" i="55" s="1"/>
  <c r="E125" i="55"/>
  <c r="G125" i="55" s="1"/>
  <c r="H125" i="55" s="1"/>
  <c r="E124" i="55"/>
  <c r="G124" i="55" s="1"/>
  <c r="H124" i="55" s="1"/>
  <c r="E123" i="55"/>
  <c r="G123" i="55" s="1"/>
  <c r="H123" i="55" s="1"/>
  <c r="C58" i="55" l="1"/>
  <c r="C81" i="55"/>
  <c r="E88" i="55" l="1"/>
  <c r="G88" i="55" s="1"/>
  <c r="H88" i="55" s="1"/>
  <c r="E89" i="55"/>
  <c r="G89" i="55" s="1"/>
  <c r="H89" i="55" s="1"/>
  <c r="C57" i="55"/>
  <c r="B13" i="58"/>
  <c r="E8" i="51" l="1"/>
  <c r="F8" i="51" s="1"/>
  <c r="C8" i="51"/>
  <c r="B9" i="24" l="1"/>
  <c r="C9" i="24" s="1"/>
  <c r="E9" i="24" s="1"/>
  <c r="F9" i="24" s="1"/>
  <c r="B23" i="23" l="1"/>
  <c r="C23" i="23" s="1"/>
  <c r="E23" i="23" s="1"/>
  <c r="F23" i="23" s="1"/>
  <c r="B24" i="19" l="1"/>
  <c r="B21" i="19"/>
  <c r="C21" i="19" s="1"/>
  <c r="E21" i="19" l="1"/>
  <c r="F21" i="19" s="1"/>
  <c r="B14" i="33" l="1"/>
  <c r="C12" i="32"/>
  <c r="B20" i="32"/>
  <c r="C11" i="31"/>
  <c r="B13" i="31"/>
  <c r="C13" i="31" l="1"/>
  <c r="E11" i="33"/>
  <c r="E12" i="33"/>
  <c r="B18" i="36"/>
  <c r="C18" i="36" s="1"/>
  <c r="C17" i="36"/>
  <c r="C12" i="36" l="1"/>
  <c r="E12" i="36" s="1"/>
  <c r="F12" i="36" s="1"/>
  <c r="B17" i="53" l="1"/>
  <c r="C9" i="44"/>
  <c r="B14" i="48" l="1"/>
  <c r="C14" i="48" s="1"/>
  <c r="C16" i="51"/>
  <c r="C15" i="47"/>
  <c r="B16" i="47"/>
  <c r="B18" i="10" l="1"/>
  <c r="C17" i="12"/>
  <c r="B18" i="20"/>
  <c r="B14" i="14" l="1"/>
  <c r="B13" i="11" l="1"/>
  <c r="B11" i="6"/>
  <c r="E11" i="6" s="1"/>
  <c r="F11" i="6" s="1"/>
  <c r="E13" i="11" l="1"/>
  <c r="F13" i="11" s="1"/>
  <c r="C13" i="11"/>
  <c r="C11" i="6"/>
  <c r="B21" i="17" l="1"/>
  <c r="E21" i="17" s="1"/>
  <c r="C21" i="17" l="1"/>
  <c r="D55" i="55" l="1"/>
  <c r="E55" i="55" s="1"/>
  <c r="G55" i="55" s="1"/>
  <c r="H55" i="55" s="1"/>
  <c r="C10" i="20" l="1"/>
  <c r="E10" i="20" s="1"/>
  <c r="F10" i="20" s="1"/>
  <c r="C16" i="48" l="1"/>
  <c r="C19" i="24" l="1"/>
  <c r="C20" i="24"/>
  <c r="B9" i="22"/>
  <c r="B44" i="14"/>
  <c r="C8" i="36" l="1"/>
  <c r="C22" i="25" l="1"/>
  <c r="B21" i="24" l="1"/>
  <c r="B29" i="23" l="1"/>
  <c r="C29" i="23" s="1"/>
  <c r="C24" i="19"/>
  <c r="E24" i="19" l="1"/>
  <c r="E17" i="12"/>
  <c r="F17" i="12" s="1"/>
  <c r="E11" i="3"/>
  <c r="C11" i="3" s="1"/>
  <c r="E14" i="61" l="1"/>
  <c r="F14" i="61" s="1"/>
  <c r="C14" i="61"/>
  <c r="B31" i="57" l="1"/>
  <c r="C31" i="57" s="1"/>
  <c r="E31" i="57" l="1"/>
  <c r="F31" i="57" s="1"/>
  <c r="C80" i="55"/>
  <c r="C9" i="55"/>
  <c r="C8" i="55"/>
  <c r="C130" i="55" l="1"/>
  <c r="D57" i="55"/>
  <c r="E57" i="55" s="1"/>
  <c r="G57" i="55" s="1"/>
  <c r="H57" i="55" s="1"/>
  <c r="C16" i="36" l="1"/>
  <c r="E13" i="33"/>
  <c r="F13" i="33" s="1"/>
  <c r="C13" i="33"/>
  <c r="C11" i="32"/>
  <c r="D29" i="32"/>
  <c r="C25" i="25"/>
  <c r="B26" i="25"/>
  <c r="C26" i="25" l="1"/>
  <c r="E26" i="25" s="1"/>
  <c r="F26" i="25" s="1"/>
  <c r="D20" i="25"/>
  <c r="E20" i="25" l="1"/>
  <c r="F20" i="25" s="1"/>
  <c r="E14" i="27" l="1"/>
  <c r="F14" i="27" s="1"/>
  <c r="C14" i="27"/>
  <c r="A26" i="30"/>
  <c r="C21" i="30" l="1"/>
  <c r="D8" i="66" l="1"/>
  <c r="C15" i="36"/>
  <c r="E11" i="66"/>
  <c r="A3" i="66"/>
  <c r="C10" i="65"/>
  <c r="A3" i="65"/>
  <c r="E10" i="65" l="1"/>
  <c r="F10" i="65" s="1"/>
  <c r="C13" i="66"/>
  <c r="E8" i="66"/>
  <c r="F8" i="66" s="1"/>
  <c r="F11" i="66"/>
  <c r="C14" i="65"/>
  <c r="E14" i="65"/>
  <c r="F14" i="65" s="1"/>
  <c r="F16" i="66" l="1"/>
  <c r="C47" i="1" s="1"/>
  <c r="E16" i="66"/>
  <c r="F16" i="65"/>
  <c r="C48" i="1" s="1"/>
  <c r="E16" i="65"/>
  <c r="D58" i="55" l="1"/>
  <c r="E20" i="32"/>
  <c r="E58" i="55" l="1"/>
  <c r="G58" i="55" s="1"/>
  <c r="H58" i="55" s="1"/>
  <c r="C25" i="12" l="1"/>
  <c r="B25" i="12"/>
  <c r="C20" i="32" l="1"/>
  <c r="C11" i="12" l="1"/>
  <c r="C10" i="12"/>
  <c r="C14" i="12" s="1"/>
  <c r="E14" i="12" l="1"/>
  <c r="C31" i="55" l="1"/>
  <c r="C94" i="55" s="1"/>
  <c r="C24" i="30" l="1"/>
  <c r="C12" i="30" s="1"/>
  <c r="E12" i="30" s="1"/>
  <c r="F12" i="30" s="1"/>
  <c r="E24" i="30" l="1"/>
  <c r="F24" i="30" s="1"/>
  <c r="B12" i="64" l="1"/>
  <c r="A3" i="64"/>
  <c r="E12" i="64" l="1"/>
  <c r="E17" i="64" s="1"/>
  <c r="C12" i="64"/>
  <c r="F12" i="64" l="1"/>
  <c r="C16" i="47"/>
  <c r="E16" i="47" s="1"/>
  <c r="C8" i="47"/>
  <c r="F17" i="64" l="1"/>
  <c r="C73" i="1" s="1"/>
  <c r="C22" i="30"/>
  <c r="C8" i="32" l="1"/>
  <c r="C14" i="32" s="1"/>
  <c r="C17" i="25" l="1"/>
  <c r="B17" i="25"/>
  <c r="C7" i="25"/>
  <c r="C8" i="25"/>
  <c r="B25" i="24" l="1"/>
  <c r="B7" i="21"/>
  <c r="C12" i="18"/>
  <c r="E12" i="18" l="1"/>
  <c r="F12" i="18" s="1"/>
  <c r="B12" i="9" l="1"/>
  <c r="C12" i="9" s="1"/>
  <c r="E12" i="9" l="1"/>
  <c r="F12" i="9" s="1"/>
  <c r="B13" i="2" l="1"/>
  <c r="C13" i="2" s="1"/>
  <c r="B11" i="53" l="1"/>
  <c r="C11" i="53" s="1"/>
  <c r="B10" i="40" l="1"/>
  <c r="E18" i="36" l="1"/>
  <c r="E21" i="36" s="1"/>
  <c r="B18" i="35"/>
  <c r="B10" i="35"/>
  <c r="C10" i="35" s="1"/>
  <c r="D15" i="34"/>
  <c r="E23" i="33"/>
  <c r="E27" i="33" s="1"/>
  <c r="C23" i="33"/>
  <c r="F12" i="33"/>
  <c r="F20" i="32"/>
  <c r="E16" i="31"/>
  <c r="F16" i="31" s="1"/>
  <c r="E13" i="31"/>
  <c r="F13" i="31" s="1"/>
  <c r="B16" i="26"/>
  <c r="C15" i="26"/>
  <c r="B12" i="26"/>
  <c r="C10" i="25"/>
  <c r="C9" i="25"/>
  <c r="C12" i="25" s="1"/>
  <c r="E12" i="25" l="1"/>
  <c r="E28" i="25" s="1"/>
  <c r="E10" i="35"/>
  <c r="F10" i="35" s="1"/>
  <c r="E8" i="34"/>
  <c r="F8" i="34" s="1"/>
  <c r="E12" i="26"/>
  <c r="F20" i="31"/>
  <c r="C54" i="1" s="1"/>
  <c r="E20" i="31"/>
  <c r="C29" i="32"/>
  <c r="E29" i="32"/>
  <c r="F29" i="32" s="1"/>
  <c r="C16" i="26"/>
  <c r="E16" i="26" s="1"/>
  <c r="F18" i="36"/>
  <c r="C18" i="35"/>
  <c r="E18" i="35"/>
  <c r="F18" i="35" s="1"/>
  <c r="E15" i="34"/>
  <c r="F15" i="34" s="1"/>
  <c r="C15" i="34"/>
  <c r="C11" i="33"/>
  <c r="C12" i="33"/>
  <c r="F23" i="33"/>
  <c r="F27" i="33" s="1"/>
  <c r="C42" i="1" s="1"/>
  <c r="F17" i="25"/>
  <c r="F12" i="26" l="1"/>
  <c r="C12" i="26"/>
  <c r="C10" i="26" s="1"/>
  <c r="F21" i="36"/>
  <c r="C45" i="1" s="1"/>
  <c r="F16" i="26"/>
  <c r="F18" i="26" s="1"/>
  <c r="C34" i="1" s="1"/>
  <c r="F19" i="34"/>
  <c r="C46" i="1" s="1"/>
  <c r="E19" i="34"/>
  <c r="F22" i="35"/>
  <c r="C44" i="1" s="1"/>
  <c r="F12" i="25"/>
  <c r="F28" i="25" s="1"/>
  <c r="C33" i="1" s="1"/>
  <c r="E22" i="35"/>
  <c r="F11" i="33"/>
  <c r="F16" i="33" s="1"/>
  <c r="C41" i="1" s="1"/>
  <c r="E16" i="33"/>
  <c r="D130" i="55"/>
  <c r="B130" i="55"/>
  <c r="E129" i="55"/>
  <c r="E122" i="55"/>
  <c r="G122" i="55" s="1"/>
  <c r="H122" i="55" s="1"/>
  <c r="E121" i="55"/>
  <c r="G121" i="55" s="1"/>
  <c r="H121" i="55" s="1"/>
  <c r="E103" i="55"/>
  <c r="G103" i="55" s="1"/>
  <c r="H103" i="55" s="1"/>
  <c r="E102" i="55"/>
  <c r="G102" i="55" s="1"/>
  <c r="H102" i="55" s="1"/>
  <c r="E101" i="55"/>
  <c r="G101" i="55" s="1"/>
  <c r="H101" i="55" s="1"/>
  <c r="E100" i="55"/>
  <c r="G100" i="55" s="1"/>
  <c r="H100" i="55" s="1"/>
  <c r="E99" i="55"/>
  <c r="G99" i="55" s="1"/>
  <c r="H99" i="55" s="1"/>
  <c r="E98" i="55"/>
  <c r="E81" i="55"/>
  <c r="G81" i="55" s="1"/>
  <c r="H81" i="55" s="1"/>
  <c r="E80" i="55"/>
  <c r="G80" i="55" s="1"/>
  <c r="H80" i="55" s="1"/>
  <c r="E78" i="55"/>
  <c r="G78" i="55" s="1"/>
  <c r="H78" i="55" s="1"/>
  <c r="D56" i="55"/>
  <c r="E56" i="55" s="1"/>
  <c r="G56" i="55" s="1"/>
  <c r="H56" i="55" s="1"/>
  <c r="D53" i="55"/>
  <c r="E53" i="55" s="1"/>
  <c r="G53" i="55" s="1"/>
  <c r="H53" i="55" s="1"/>
  <c r="D52" i="55"/>
  <c r="E52" i="55" s="1"/>
  <c r="G52" i="55" s="1"/>
  <c r="H52" i="55" s="1"/>
  <c r="D31" i="55"/>
  <c r="E31" i="55" s="1"/>
  <c r="G31" i="55" s="1"/>
  <c r="H31" i="55" s="1"/>
  <c r="D30" i="55"/>
  <c r="E30" i="55" s="1"/>
  <c r="G30" i="55" s="1"/>
  <c r="H30" i="55" s="1"/>
  <c r="D9" i="55"/>
  <c r="E9" i="55" s="1"/>
  <c r="G9" i="55" s="1"/>
  <c r="H9" i="55" s="1"/>
  <c r="D8" i="55"/>
  <c r="D94" i="55" s="1"/>
  <c r="G98" i="55" l="1"/>
  <c r="H98" i="55" s="1"/>
  <c r="E130" i="55"/>
  <c r="G130" i="55" s="1"/>
  <c r="E18" i="26"/>
  <c r="E8" i="55"/>
  <c r="E94" i="55" s="1"/>
  <c r="G8" i="55" l="1"/>
  <c r="H8" i="55" s="1"/>
  <c r="G94" i="55"/>
  <c r="H130" i="55"/>
  <c r="G132" i="55" l="1"/>
  <c r="H132" i="55" s="1"/>
  <c r="H94" i="55"/>
  <c r="E9" i="22"/>
  <c r="F9" i="22" s="1"/>
  <c r="B14" i="21"/>
  <c r="B17" i="19"/>
  <c r="C17" i="19" s="1"/>
  <c r="B12" i="16"/>
  <c r="B8" i="16"/>
  <c r="E8" i="16" s="1"/>
  <c r="F8" i="16" s="1"/>
  <c r="B28" i="12"/>
  <c r="C28" i="12" s="1"/>
  <c r="B27" i="11"/>
  <c r="B23" i="11"/>
  <c r="C18" i="10"/>
  <c r="B26" i="10"/>
  <c r="C75" i="1" l="1"/>
  <c r="B23" i="10"/>
  <c r="C23" i="10" s="1"/>
  <c r="E23" i="11"/>
  <c r="F23" i="11" s="1"/>
  <c r="C23" i="11"/>
  <c r="C9" i="22"/>
  <c r="C8" i="16"/>
  <c r="E23" i="10" l="1"/>
  <c r="F23" i="10" s="1"/>
  <c r="B15" i="9"/>
  <c r="E15" i="9" s="1"/>
  <c r="F15" i="9" s="1"/>
  <c r="B8" i="9"/>
  <c r="C9" i="7"/>
  <c r="E9" i="7" s="1"/>
  <c r="F9" i="7" s="1"/>
  <c r="B14" i="5"/>
  <c r="B19" i="5"/>
  <c r="E19" i="5" s="1"/>
  <c r="C15" i="9" l="1"/>
  <c r="C19" i="5"/>
  <c r="B14" i="4" l="1"/>
  <c r="C14" i="4" s="1"/>
  <c r="B18" i="2" l="1"/>
  <c r="E23" i="14" l="1"/>
  <c r="F23" i="14" s="1"/>
  <c r="C23" i="14"/>
  <c r="C9" i="47" l="1"/>
  <c r="E9" i="47" s="1"/>
  <c r="B18" i="50"/>
  <c r="E22" i="30" l="1"/>
  <c r="F22" i="30" s="1"/>
  <c r="C10" i="30" l="1"/>
  <c r="E10" i="30" s="1"/>
  <c r="B21" i="50"/>
  <c r="F10" i="30" l="1"/>
  <c r="C9" i="30" l="1"/>
  <c r="E9" i="30" s="1"/>
  <c r="F21" i="17" l="1"/>
  <c r="B9" i="49" l="1"/>
  <c r="A3" i="61" l="1"/>
  <c r="A3" i="62"/>
  <c r="A3" i="23"/>
  <c r="A3" i="22"/>
  <c r="A3" i="21"/>
  <c r="A3" i="20"/>
  <c r="A3" i="19"/>
  <c r="A3" i="18"/>
  <c r="A3" i="17"/>
  <c r="A3" i="16"/>
  <c r="A3" i="15"/>
  <c r="A3" i="14"/>
  <c r="A3" i="24"/>
  <c r="A3" i="27"/>
  <c r="A3" i="28"/>
  <c r="A3" i="29"/>
  <c r="A3" i="30"/>
  <c r="A3" i="37"/>
  <c r="A3" i="38"/>
  <c r="A3" i="39"/>
  <c r="A3" i="40"/>
  <c r="A3" i="41"/>
  <c r="A3" i="43"/>
  <c r="A3" i="44"/>
  <c r="A3" i="45"/>
  <c r="A3" i="46"/>
  <c r="A3" i="47"/>
  <c r="A3" i="48"/>
  <c r="A3" i="49"/>
  <c r="A3" i="50"/>
  <c r="A3" i="51"/>
  <c r="A3" i="52"/>
  <c r="A3" i="53"/>
  <c r="A3" i="54"/>
  <c r="A3" i="55"/>
  <c r="A3" i="56"/>
  <c r="A3" i="57"/>
  <c r="A3" i="58"/>
  <c r="A3" i="59"/>
  <c r="A3" i="60"/>
  <c r="A3" i="26" l="1"/>
  <c r="A3" i="25"/>
  <c r="C19" i="53"/>
  <c r="E11" i="53" l="1"/>
  <c r="B39" i="14" l="1"/>
  <c r="F8" i="30" l="1"/>
  <c r="E21" i="30"/>
  <c r="C28" i="30"/>
  <c r="F21" i="30" l="1"/>
  <c r="F9" i="30"/>
  <c r="B10" i="54"/>
  <c r="C10" i="54" s="1"/>
  <c r="C25" i="24" l="1"/>
  <c r="C26" i="24" s="1"/>
  <c r="C18" i="24"/>
  <c r="C21" i="24" s="1"/>
  <c r="B26" i="24"/>
  <c r="B37" i="23" l="1"/>
  <c r="E37" i="23" l="1"/>
  <c r="C37" i="23"/>
  <c r="E29" i="23"/>
  <c r="F24" i="19"/>
  <c r="C22" i="12"/>
  <c r="B12" i="29" l="1"/>
  <c r="F17" i="62" l="1"/>
  <c r="E8" i="54"/>
  <c r="F8" i="54" s="1"/>
  <c r="C8" i="54"/>
  <c r="B11" i="52" l="1"/>
  <c r="E11" i="52" s="1"/>
  <c r="C11" i="52" l="1"/>
  <c r="E13" i="52"/>
  <c r="F11" i="52"/>
  <c r="F13" i="52" s="1"/>
  <c r="C63" i="1" l="1"/>
  <c r="B11" i="38"/>
  <c r="C11" i="38" l="1"/>
  <c r="E11" i="38"/>
  <c r="F11" i="38" s="1"/>
  <c r="E14" i="38" l="1"/>
  <c r="F14" i="38"/>
  <c r="C39" i="1" l="1"/>
  <c r="C12" i="19"/>
  <c r="E12" i="19" s="1"/>
  <c r="C10" i="13" l="1"/>
  <c r="C12" i="13" s="1"/>
  <c r="E12" i="13" s="1"/>
  <c r="F12" i="13" s="1"/>
  <c r="E17" i="13" l="1"/>
  <c r="F17" i="13"/>
  <c r="B28" i="30"/>
  <c r="E26" i="24" l="1"/>
  <c r="E21" i="24" l="1"/>
  <c r="E29" i="24" s="1"/>
  <c r="C44" i="14" l="1"/>
  <c r="E13" i="2"/>
  <c r="F13" i="2" s="1"/>
  <c r="F12" i="19"/>
  <c r="E44" i="14"/>
  <c r="E28" i="12"/>
  <c r="F28" i="12" s="1"/>
  <c r="F44" i="14" l="1"/>
  <c r="C26" i="10"/>
  <c r="E18" i="10"/>
  <c r="F18" i="10" s="1"/>
  <c r="F18" i="8" l="1"/>
  <c r="B9" i="46" l="1"/>
  <c r="E9" i="46" s="1"/>
  <c r="E11" i="46" s="1"/>
  <c r="D22" i="45"/>
  <c r="B22" i="45"/>
  <c r="B9" i="45"/>
  <c r="B12" i="44"/>
  <c r="C12" i="44" s="1"/>
  <c r="B25" i="54"/>
  <c r="E25" i="54" s="1"/>
  <c r="F25" i="54" s="1"/>
  <c r="E12" i="54"/>
  <c r="F12" i="54" s="1"/>
  <c r="C12" i="54"/>
  <c r="D19" i="53"/>
  <c r="C17" i="53"/>
  <c r="E17" i="53" s="1"/>
  <c r="B10" i="43"/>
  <c r="C10" i="43" s="1"/>
  <c r="B11" i="50"/>
  <c r="E11" i="50" s="1"/>
  <c r="E13" i="50" s="1"/>
  <c r="E14" i="49"/>
  <c r="E9" i="49"/>
  <c r="E16" i="48"/>
  <c r="F16" i="48" s="1"/>
  <c r="E14" i="48"/>
  <c r="B9" i="48"/>
  <c r="C9" i="48" s="1"/>
  <c r="B9" i="47"/>
  <c r="E16" i="51" l="1"/>
  <c r="C9" i="45"/>
  <c r="E9" i="45"/>
  <c r="E12" i="45" s="1"/>
  <c r="E12" i="44"/>
  <c r="F12" i="44" s="1"/>
  <c r="E19" i="53"/>
  <c r="F19" i="53" s="1"/>
  <c r="E22" i="45"/>
  <c r="F22" i="45" s="1"/>
  <c r="F24" i="45" s="1"/>
  <c r="F17" i="53"/>
  <c r="F11" i="53"/>
  <c r="F9" i="46"/>
  <c r="F11" i="46" s="1"/>
  <c r="F14" i="48"/>
  <c r="C9" i="46"/>
  <c r="C22" i="45"/>
  <c r="E10" i="54"/>
  <c r="F10" i="54" s="1"/>
  <c r="E28" i="54"/>
  <c r="F28" i="54"/>
  <c r="C25" i="54"/>
  <c r="E10" i="43"/>
  <c r="F10" i="43" s="1"/>
  <c r="C11" i="50"/>
  <c r="F11" i="50"/>
  <c r="F13" i="50" s="1"/>
  <c r="F9" i="49"/>
  <c r="F14" i="49"/>
  <c r="C14" i="49"/>
  <c r="C9" i="49"/>
  <c r="E9" i="48"/>
  <c r="F9" i="47"/>
  <c r="F16" i="47"/>
  <c r="F16" i="51" l="1"/>
  <c r="F18" i="51" s="1"/>
  <c r="E18" i="51"/>
  <c r="C72" i="1"/>
  <c r="C70" i="1"/>
  <c r="C67" i="1"/>
  <c r="C60" i="1"/>
  <c r="C62" i="1"/>
  <c r="E14" i="54"/>
  <c r="F21" i="53"/>
  <c r="E21" i="53"/>
  <c r="E24" i="45"/>
  <c r="F9" i="45"/>
  <c r="F12" i="45" s="1"/>
  <c r="E14" i="44"/>
  <c r="F14" i="44"/>
  <c r="C68" i="1" s="1"/>
  <c r="F14" i="54"/>
  <c r="E12" i="43"/>
  <c r="F12" i="43"/>
  <c r="E16" i="49"/>
  <c r="F16" i="49"/>
  <c r="C59" i="1" s="1"/>
  <c r="E18" i="48"/>
  <c r="F9" i="48"/>
  <c r="F18" i="48" s="1"/>
  <c r="C58" i="1" s="1"/>
  <c r="F18" i="47"/>
  <c r="C57" i="1" s="1"/>
  <c r="E18" i="47"/>
  <c r="C69" i="1" l="1"/>
  <c r="C66" i="1"/>
  <c r="C64" i="1"/>
  <c r="C65" i="1"/>
  <c r="B19" i="41"/>
  <c r="E19" i="41" s="1"/>
  <c r="B11" i="37"/>
  <c r="E11" i="37" s="1"/>
  <c r="F11" i="37" s="1"/>
  <c r="B9" i="28"/>
  <c r="E9" i="28" s="1"/>
  <c r="E12" i="28" s="1"/>
  <c r="C12" i="29"/>
  <c r="F19" i="41" l="1"/>
  <c r="F21" i="41" s="1"/>
  <c r="C53" i="1" s="1"/>
  <c r="E21" i="41"/>
  <c r="C11" i="37"/>
  <c r="C19" i="41"/>
  <c r="C9" i="28"/>
  <c r="F9" i="28"/>
  <c r="F12" i="28" s="1"/>
  <c r="C37" i="1" s="1"/>
  <c r="E12" i="29"/>
  <c r="E15" i="29" s="1"/>
  <c r="E14" i="37" l="1"/>
  <c r="F14" i="37"/>
  <c r="F12" i="29"/>
  <c r="F15" i="29" s="1"/>
  <c r="C36" i="1" s="1"/>
  <c r="C40" i="1" l="1"/>
  <c r="B10" i="60"/>
  <c r="E13" i="58"/>
  <c r="E17" i="58" s="1"/>
  <c r="B14" i="56"/>
  <c r="E14" i="56" s="1"/>
  <c r="E16" i="56" s="1"/>
  <c r="B24" i="57"/>
  <c r="E24" i="57" s="1"/>
  <c r="C10" i="60" l="1"/>
  <c r="E10" i="60" s="1"/>
  <c r="F10" i="60" s="1"/>
  <c r="F14" i="60" s="1"/>
  <c r="C13" i="58"/>
  <c r="F13" i="58"/>
  <c r="F17" i="58" s="1"/>
  <c r="C86" i="1" s="1"/>
  <c r="F14" i="56"/>
  <c r="F16" i="56" s="1"/>
  <c r="C14" i="56"/>
  <c r="F24" i="57"/>
  <c r="C24" i="57"/>
  <c r="C76" i="1" l="1"/>
  <c r="E14" i="60"/>
  <c r="C81" i="1"/>
  <c r="F33" i="57"/>
  <c r="E33" i="57"/>
  <c r="C80" i="1" l="1"/>
  <c r="B10" i="57"/>
  <c r="E10" i="57" s="1"/>
  <c r="B10" i="59"/>
  <c r="C10" i="59" s="1"/>
  <c r="B10" i="61"/>
  <c r="C10" i="61" s="1"/>
  <c r="F10" i="57" l="1"/>
  <c r="C10" i="57"/>
  <c r="E10" i="59"/>
  <c r="E10" i="61"/>
  <c r="E18" i="61" s="1"/>
  <c r="F14" i="57" l="1"/>
  <c r="C79" i="1" s="1"/>
  <c r="E14" i="57"/>
  <c r="E17" i="59"/>
  <c r="F10" i="59"/>
  <c r="F17" i="59" s="1"/>
  <c r="C78" i="1" s="1"/>
  <c r="F10" i="61"/>
  <c r="F18" i="61" s="1"/>
  <c r="C77" i="1" s="1"/>
  <c r="B16" i="18" l="1"/>
  <c r="E12" i="16"/>
  <c r="B18" i="15"/>
  <c r="B9" i="15"/>
  <c r="C15" i="7" l="1"/>
  <c r="E9" i="15"/>
  <c r="F9" i="15" s="1"/>
  <c r="F11" i="15" s="1"/>
  <c r="C20" i="1" s="1"/>
  <c r="C18" i="15"/>
  <c r="E16" i="18"/>
  <c r="C16" i="18"/>
  <c r="E15" i="16"/>
  <c r="F12" i="16"/>
  <c r="F15" i="16" s="1"/>
  <c r="C12" i="16"/>
  <c r="E18" i="15"/>
  <c r="E21" i="15" s="1"/>
  <c r="C9" i="15"/>
  <c r="E15" i="7"/>
  <c r="E18" i="7" s="1"/>
  <c r="F16" i="18" l="1"/>
  <c r="F19" i="18" s="1"/>
  <c r="C25" i="1" s="1"/>
  <c r="E19" i="18"/>
  <c r="C22" i="1"/>
  <c r="E11" i="15"/>
  <c r="F18" i="15"/>
  <c r="F15" i="7"/>
  <c r="F18" i="7" s="1"/>
  <c r="C12" i="1" s="1"/>
  <c r="C21" i="1" l="1"/>
  <c r="F14" i="6" l="1"/>
  <c r="C10" i="1" s="1"/>
  <c r="E14" i="6"/>
  <c r="E17" i="19"/>
  <c r="F17" i="19" s="1"/>
  <c r="C18" i="22"/>
  <c r="E18" i="20"/>
  <c r="E20" i="20" s="1"/>
  <c r="E7" i="21" l="1"/>
  <c r="C7" i="21"/>
  <c r="F26" i="24"/>
  <c r="C18" i="20"/>
  <c r="F26" i="19"/>
  <c r="C26" i="1" s="1"/>
  <c r="E14" i="21"/>
  <c r="F14" i="21" s="1"/>
  <c r="C14" i="21"/>
  <c r="E18" i="22"/>
  <c r="F18" i="22" s="1"/>
  <c r="F18" i="20" l="1"/>
  <c r="C18" i="1"/>
  <c r="F21" i="24"/>
  <c r="F29" i="24" s="1"/>
  <c r="E16" i="21"/>
  <c r="E26" i="19"/>
  <c r="E20" i="22"/>
  <c r="F20" i="22"/>
  <c r="C30" i="1" s="1"/>
  <c r="F7" i="21"/>
  <c r="F16" i="21" s="1"/>
  <c r="C29" i="1" s="1"/>
  <c r="C28" i="1" l="1"/>
  <c r="F20" i="20"/>
  <c r="C27" i="1" s="1"/>
  <c r="F19" i="5"/>
  <c r="C10" i="40"/>
  <c r="B16" i="40"/>
  <c r="C16" i="40" s="1"/>
  <c r="B9" i="39"/>
  <c r="B8" i="27"/>
  <c r="B12" i="27"/>
  <c r="B18" i="11"/>
  <c r="C9" i="11"/>
  <c r="E24" i="8"/>
  <c r="C18" i="11" l="1"/>
  <c r="E10" i="5"/>
  <c r="F10" i="5" s="1"/>
  <c r="E14" i="5"/>
  <c r="F14" i="5" s="1"/>
  <c r="E26" i="10"/>
  <c r="E9" i="11"/>
  <c r="F9" i="11" s="1"/>
  <c r="E18" i="11"/>
  <c r="E9" i="39"/>
  <c r="E11" i="39" s="1"/>
  <c r="C9" i="39"/>
  <c r="E27" i="11"/>
  <c r="F27" i="11" s="1"/>
  <c r="C24" i="8"/>
  <c r="C14" i="5"/>
  <c r="C10" i="5"/>
  <c r="C12" i="27"/>
  <c r="E12" i="27"/>
  <c r="F12" i="27" s="1"/>
  <c r="E16" i="40"/>
  <c r="E10" i="40"/>
  <c r="F10" i="40" s="1"/>
  <c r="C8" i="27"/>
  <c r="E8" i="27"/>
  <c r="F8" i="27" s="1"/>
  <c r="E14" i="4"/>
  <c r="E17" i="4" s="1"/>
  <c r="E22" i="12"/>
  <c r="F22" i="12" s="1"/>
  <c r="F14" i="12"/>
  <c r="C27" i="11"/>
  <c r="F18" i="11" l="1"/>
  <c r="F29" i="11" s="1"/>
  <c r="C16" i="1" s="1"/>
  <c r="E29" i="11"/>
  <c r="F22" i="5"/>
  <c r="F24" i="8"/>
  <c r="F26" i="10"/>
  <c r="F9" i="39"/>
  <c r="F11" i="39" s="1"/>
  <c r="C51" i="1" s="1"/>
  <c r="F14" i="4"/>
  <c r="F16" i="40"/>
  <c r="F19" i="40" s="1"/>
  <c r="C52" i="1" s="1"/>
  <c r="E19" i="40"/>
  <c r="F16" i="27"/>
  <c r="C35" i="1" s="1"/>
  <c r="E16" i="27"/>
  <c r="E22" i="5"/>
  <c r="F37" i="23"/>
  <c r="F29" i="23"/>
  <c r="F29" i="12"/>
  <c r="C17" i="1" s="1"/>
  <c r="E29" i="12"/>
  <c r="C29" i="62"/>
  <c r="F17" i="4" l="1"/>
  <c r="C8" i="1" s="1"/>
  <c r="C9" i="1"/>
  <c r="C14" i="14"/>
  <c r="C39" i="14"/>
  <c r="E39" i="14"/>
  <c r="F39" i="14" s="1"/>
  <c r="G36" i="62"/>
  <c r="D23" i="62"/>
  <c r="E18" i="2"/>
  <c r="F18" i="2" s="1"/>
  <c r="C18" i="2"/>
  <c r="E9" i="2"/>
  <c r="C9" i="2"/>
  <c r="E14" i="14"/>
  <c r="F14" i="14" s="1"/>
  <c r="C88" i="1" l="1"/>
  <c r="G17" i="62"/>
  <c r="F25" i="62"/>
  <c r="E20" i="2"/>
  <c r="F9" i="2"/>
  <c r="F20" i="2" s="1"/>
  <c r="C6" i="1" l="1"/>
  <c r="G25" i="62"/>
  <c r="G31" i="62" l="1"/>
  <c r="E23" i="17"/>
  <c r="F31" i="62" l="1"/>
  <c r="C89" i="1"/>
  <c r="F23" i="17"/>
  <c r="C23" i="1" s="1"/>
  <c r="C21" i="50" l="1"/>
  <c r="E21" i="50"/>
  <c r="F21" i="50" s="1"/>
  <c r="C18" i="50"/>
  <c r="E18" i="50"/>
  <c r="F18" i="50" s="1"/>
  <c r="F23" i="50" l="1"/>
  <c r="C61" i="1" s="1"/>
  <c r="E23" i="50"/>
  <c r="C8" i="9"/>
  <c r="E8" i="9"/>
  <c r="E17" i="9" s="1"/>
  <c r="F8" i="9" l="1"/>
  <c r="F17" i="9" l="1"/>
  <c r="E19" i="3"/>
  <c r="C14" i="1" l="1"/>
  <c r="F19" i="3"/>
  <c r="C7" i="1" l="1"/>
  <c r="E14" i="32" l="1"/>
  <c r="E32" i="32" s="1"/>
  <c r="F14" i="32" l="1"/>
  <c r="F32" i="32" s="1"/>
  <c r="C38" i="1" l="1"/>
  <c r="C13" i="10" l="1"/>
  <c r="E13" i="10"/>
  <c r="F13" i="10" s="1"/>
  <c r="F28" i="10" s="1"/>
  <c r="C15" i="1" l="1"/>
  <c r="E28" i="10"/>
  <c r="C34" i="14"/>
  <c r="E34" i="14"/>
  <c r="F34" i="14" l="1"/>
  <c r="C19" i="1" s="1"/>
  <c r="E46" i="14"/>
  <c r="C23" i="30"/>
  <c r="E23" i="30" s="1"/>
  <c r="C11" i="30" l="1"/>
  <c r="E11" i="30" s="1"/>
  <c r="F23" i="30"/>
  <c r="F11" i="30" l="1"/>
  <c r="C14" i="23"/>
  <c r="E14" i="23" s="1"/>
  <c r="F14" i="23" l="1"/>
  <c r="F40" i="23" s="1"/>
  <c r="C31" i="1" s="1"/>
  <c r="E40" i="23"/>
  <c r="C26" i="30" l="1"/>
  <c r="E26" i="30"/>
  <c r="F26" i="30" s="1"/>
  <c r="B14" i="30"/>
  <c r="C25" i="30"/>
  <c r="C13" i="30" s="1"/>
  <c r="E13" i="30" s="1"/>
  <c r="C14" i="30" l="1"/>
  <c r="E14" i="30" s="1"/>
  <c r="F14" i="30" s="1"/>
  <c r="E25" i="30"/>
  <c r="E28" i="30" s="1"/>
  <c r="F28" i="30" s="1"/>
  <c r="C49" i="1" s="1"/>
  <c r="F13" i="30"/>
  <c r="F15" i="30" s="1"/>
  <c r="C50" i="1" s="1"/>
  <c r="E15" i="30"/>
  <c r="F25" i="30"/>
  <c r="E10" i="8"/>
  <c r="E26" i="8" s="1"/>
  <c r="C10" i="8"/>
  <c r="F10" i="8" l="1"/>
  <c r="F26" i="8" s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Libica Hurley</author>
  </authors>
  <commentList>
    <comment ref="B11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Libica Hurley:</t>
        </r>
        <r>
          <rPr>
            <sz val="9"/>
            <color indexed="81"/>
            <rFont val="Tahoma"/>
            <family val="2"/>
          </rPr>
          <t xml:space="preserve">
Was $808,000
Stage 3 not shown on spreadsheet, Row 298 is hidden but is $0</t>
        </r>
      </text>
    </comment>
  </commentList>
</comments>
</file>

<file path=xl/sharedStrings.xml><?xml version="1.0" encoding="utf-8"?>
<sst xmlns="http://schemas.openxmlformats.org/spreadsheetml/2006/main" count="1384" uniqueCount="578">
  <si>
    <t>Waimakariri District Council</t>
  </si>
  <si>
    <t>Rangiora Water Development Contribution Calculation</t>
  </si>
  <si>
    <t>Past Expenditure</t>
  </si>
  <si>
    <t>Future Expenditure</t>
  </si>
  <si>
    <t>Solely Growth Related Projects</t>
  </si>
  <si>
    <t>Northbrook Road Boost Main - Stage 1</t>
  </si>
  <si>
    <t>Partially growth related Projects</t>
  </si>
  <si>
    <t>Past expenditure (including interest)</t>
  </si>
  <si>
    <t>Cust Water Development Contribution Calculation</t>
  </si>
  <si>
    <t>District Roading Development Contribution Calculation</t>
  </si>
  <si>
    <t>Subsidised</t>
  </si>
  <si>
    <t>Subsidy</t>
  </si>
  <si>
    <t>New Passenger Transport Infrastructure</t>
  </si>
  <si>
    <t>Ivory St Widening (at Queen)</t>
  </si>
  <si>
    <t>New Ashley Bridge</t>
  </si>
  <si>
    <t>Un-Subsidised</t>
  </si>
  <si>
    <t>West Belt Extension to Townsend Road</t>
  </si>
  <si>
    <t>Past expenditure</t>
  </si>
  <si>
    <t>Flaxton / Fernside intersection</t>
  </si>
  <si>
    <t>Subsidy received on past expenditure</t>
  </si>
  <si>
    <t>Reserves Development Contribution Calculation</t>
  </si>
  <si>
    <t>District Reserves</t>
  </si>
  <si>
    <t>Astroturf</t>
  </si>
  <si>
    <t>Future Sports Ground Development</t>
  </si>
  <si>
    <t>Gladstone Park</t>
  </si>
  <si>
    <t>Neighbourhood Reserves</t>
  </si>
  <si>
    <t>Land Purchase - Neighbourhood</t>
  </si>
  <si>
    <t>Land Development - Neighbourhood</t>
  </si>
  <si>
    <t>Rural Zones</t>
  </si>
  <si>
    <t>(District Wide Reserves only)</t>
  </si>
  <si>
    <t>Calculation of 7.5% of Land Value</t>
  </si>
  <si>
    <t>Average Urban Land Value</t>
  </si>
  <si>
    <t>Funded by Development contributions</t>
  </si>
  <si>
    <t>Capital for Growth</t>
  </si>
  <si>
    <t>Total project cost</t>
  </si>
  <si>
    <t>Fernside Water Development Contribution Calculation</t>
  </si>
  <si>
    <t>Connection to Mandeville</t>
  </si>
  <si>
    <t>Garrymere Water Development Contribution Calculation</t>
  </si>
  <si>
    <t>New Source</t>
  </si>
  <si>
    <t>Kaiapoi Water Development Contribution Calculation</t>
  </si>
  <si>
    <t>Mandeville Water Development Contribution Calculation</t>
  </si>
  <si>
    <t>New source</t>
  </si>
  <si>
    <t>Ohoka Water Development Contribution Calculation</t>
  </si>
  <si>
    <t>Oxford Water Development Contribution Calculation</t>
  </si>
  <si>
    <t>New Water Source</t>
  </si>
  <si>
    <t>Oxford No 1 Water Development Contribution Calculation</t>
  </si>
  <si>
    <t>New Mains (Woodstock Rd 26.5k)</t>
  </si>
  <si>
    <t>Additional Source</t>
  </si>
  <si>
    <t>Oxford No 2 Water Development Contribution Calculation</t>
  </si>
  <si>
    <t>Chinnerys Rd Surface Pump Upgrade</t>
  </si>
  <si>
    <t>Additional storage</t>
  </si>
  <si>
    <t>Alternative source</t>
  </si>
  <si>
    <t>Ocean Outfall Project, including interest</t>
  </si>
  <si>
    <t>Woodend Increase UV Capacity</t>
  </si>
  <si>
    <t>Woodend Construct New Aeration Pond 1C recommission Pond 2B</t>
  </si>
  <si>
    <t>Ocean Outfall Sewer Development Contribution Calculation</t>
  </si>
  <si>
    <t>Cost of funding</t>
  </si>
  <si>
    <t>Moorcroft Sewer Main (Nth)</t>
  </si>
  <si>
    <t>Development contribution for existing properties connecting to scheme</t>
  </si>
  <si>
    <t>Waikuku Sewer Development Contribution Calculation</t>
  </si>
  <si>
    <t>Upsize Peraki St Pump station outlet main</t>
  </si>
  <si>
    <t>Tuahiwi Water Development Contribution Calculation</t>
  </si>
  <si>
    <t>Waikuku Water Development Contribution Calculation</t>
  </si>
  <si>
    <t>West Eyreton Water Development Contribution Calculation</t>
  </si>
  <si>
    <t>Summerhill Water Development Contribution Calculation</t>
  </si>
  <si>
    <t>Poyntzs Rd Water Development Contribution Calculation</t>
  </si>
  <si>
    <t>Development Contributions:</t>
  </si>
  <si>
    <t>Council's full Development Contribution Policy should be consulted when determining an assessment</t>
  </si>
  <si>
    <t>WATER</t>
  </si>
  <si>
    <t>Cust</t>
  </si>
  <si>
    <t>Fernside</t>
  </si>
  <si>
    <t>Garrymere</t>
  </si>
  <si>
    <t>Kaiapoi</t>
  </si>
  <si>
    <t>Mandeville</t>
  </si>
  <si>
    <t>Ohoka</t>
  </si>
  <si>
    <t>Oxford</t>
  </si>
  <si>
    <t>Oxford 1</t>
  </si>
  <si>
    <t>Oxford 2</t>
  </si>
  <si>
    <t>Poyntzs Road</t>
  </si>
  <si>
    <t>Rangiora</t>
  </si>
  <si>
    <t>East Rangiora Outline Development Plan Area - Kippenberger Ave</t>
  </si>
  <si>
    <t>North Rangiora Outline Development Plan Area</t>
  </si>
  <si>
    <t>Southbrook (m2)</t>
  </si>
  <si>
    <t>Summerhill</t>
  </si>
  <si>
    <t>Tuahiwi</t>
  </si>
  <si>
    <t>Woodend - Tuahiwi water</t>
  </si>
  <si>
    <t>Waikuku Beach</t>
  </si>
  <si>
    <t>West Eyreton</t>
  </si>
  <si>
    <t>Woodend</t>
  </si>
  <si>
    <t>SEWER</t>
  </si>
  <si>
    <t>East North East Kaiapoi Reticulation</t>
  </si>
  <si>
    <t>Southbrook Stage 2 (m2)</t>
  </si>
  <si>
    <t>DRAINAGE</t>
  </si>
  <si>
    <t>East Rangiora</t>
  </si>
  <si>
    <t>Coastal Urban</t>
  </si>
  <si>
    <t>ROADING</t>
  </si>
  <si>
    <t>District</t>
  </si>
  <si>
    <t>East Woodend</t>
  </si>
  <si>
    <t>Kaiapoi North</t>
  </si>
  <si>
    <t>RESERVES</t>
  </si>
  <si>
    <t>Northbrook water main</t>
  </si>
  <si>
    <t>West Rangiora ODP</t>
  </si>
  <si>
    <t>Silverstream New Arterial Rd</t>
  </si>
  <si>
    <t>Arterial Road</t>
  </si>
  <si>
    <t>Collector Road</t>
  </si>
  <si>
    <t>Southbrook ODP</t>
  </si>
  <si>
    <t>Less Non- growth</t>
  </si>
  <si>
    <t>Shared Pump Station &amp; Rising Main</t>
  </si>
  <si>
    <t>Central Rangiora Capacity upgrade</t>
  </si>
  <si>
    <t>less non-growth</t>
  </si>
  <si>
    <t>Solely growth related Projects</t>
  </si>
  <si>
    <t>Northbrook Rd Gravity Main</t>
  </si>
  <si>
    <t>Northbrook Rd pump station</t>
  </si>
  <si>
    <t>Gilberthorpe Properties</t>
  </si>
  <si>
    <t>Inner West Rangiora Sewer Development Contribution Calculation</t>
  </si>
  <si>
    <t>West Belt Pipe Upgrade - ODP</t>
  </si>
  <si>
    <t>Extra Over Pentecost Rd Main</t>
  </si>
  <si>
    <t>Extra over West Rangiora</t>
  </si>
  <si>
    <t>Oaks Subdivision Rangiora Oxford Road</t>
  </si>
  <si>
    <t>North Rangiora Sewer Development Contribution Calculation</t>
  </si>
  <si>
    <t>Ashley Street Sewer Extension</t>
  </si>
  <si>
    <t>Extra over Sewer mains Enverton Drive</t>
  </si>
  <si>
    <t>Development contribution for New properties</t>
  </si>
  <si>
    <t>East Woodend - Gladstone Rd</t>
  </si>
  <si>
    <t>Gladstone Rd Rising main ODP</t>
  </si>
  <si>
    <t>East Woodend ODP pump station</t>
  </si>
  <si>
    <t>Extra over Upgrade ODP gravity mains</t>
  </si>
  <si>
    <t>Enverton Drive Ashley Street</t>
  </si>
  <si>
    <t>Enverton Drive Ballarat Road</t>
  </si>
  <si>
    <t>East Rangiora Retention</t>
  </si>
  <si>
    <t>Costs of funding</t>
  </si>
  <si>
    <t>Land Purchase Pond 5, Culverts, Swales</t>
  </si>
  <si>
    <t>Southbrook Development</t>
  </si>
  <si>
    <t>Coastal Urban Drainage Development Contribution Calculation</t>
  </si>
  <si>
    <t>East Woodend Detention Pond 2.5Ha</t>
  </si>
  <si>
    <t>East Woodend Internal reticulation</t>
  </si>
  <si>
    <t xml:space="preserve">Woodend - Upgrade Drain, purchase land &amp; Construct Pond NE </t>
  </si>
  <si>
    <t>Total additional costs (Yr 11+)</t>
  </si>
  <si>
    <t>less Commercial Area costs</t>
  </si>
  <si>
    <t>Commercial area in sq metres (8.7ha)</t>
  </si>
  <si>
    <t>Commercial area in sq metres</t>
  </si>
  <si>
    <t>Pond areas 1&amp;2; Land purchase, construction</t>
  </si>
  <si>
    <t>Contribution per square metre</t>
  </si>
  <si>
    <t>South West Rangiora (West Belt Extension to Townsend Road)</t>
  </si>
  <si>
    <t>West Rangiora Improvement - Lehmans to River Rd</t>
  </si>
  <si>
    <t>Kaiapoi North Intersection Improvements</t>
  </si>
  <si>
    <t>East Woodend ODP - North South Rd</t>
  </si>
  <si>
    <t>North East Kaiapoi</t>
  </si>
  <si>
    <t>West Kaiapoi</t>
  </si>
  <si>
    <t>Mandeville, Ohoka, Swannanoa - new properties</t>
  </si>
  <si>
    <t>Mandeville, Ohoka, Swannanoa - existing properties wishing to connect</t>
  </si>
  <si>
    <t>North Rangiora - Enverton Drive East</t>
  </si>
  <si>
    <t>North Rangiora - Enverton Drive / Ballarat Rd</t>
  </si>
  <si>
    <t>West Rangiora</t>
  </si>
  <si>
    <t>New pipeline</t>
  </si>
  <si>
    <t>Burnt Hill Mains</t>
  </si>
  <si>
    <t>Sales Rd/Powells Rd Main Upgrade</t>
  </si>
  <si>
    <t>Partially  Growth Related</t>
  </si>
  <si>
    <t>Source Upgrade - 2nd Well</t>
  </si>
  <si>
    <t>Southbrook Supply Main - Construction</t>
  </si>
  <si>
    <t>River Rd main extension</t>
  </si>
  <si>
    <t>Red Lion corner</t>
  </si>
  <si>
    <t>Kaiapoi Park &amp; Ride</t>
  </si>
  <si>
    <t>Rangiora Park &amp; Ride</t>
  </si>
  <si>
    <t>Land Purchases - Growth</t>
  </si>
  <si>
    <t>Kippenberger Ave</t>
  </si>
  <si>
    <t>Flaxton Rd main</t>
  </si>
  <si>
    <t>Main North Rd Main Upgrade</t>
  </si>
  <si>
    <t>North East Kaiapoi DCA</t>
  </si>
  <si>
    <t>West Kaiapoi DCA</t>
  </si>
  <si>
    <t>East Rangiora DCA</t>
  </si>
  <si>
    <t>East Rangiora DCA - Kippenberger Ave</t>
  </si>
  <si>
    <t>East Rangiora DCA Other Properties</t>
  </si>
  <si>
    <t>East Rangiora DCA (Gilberthorpes)</t>
  </si>
  <si>
    <t xml:space="preserve">Inner West Rangiora DCA </t>
  </si>
  <si>
    <t>North Rangiora DCA</t>
  </si>
  <si>
    <t>East Woodend DCA</t>
  </si>
  <si>
    <t>West Kaiapoi DCA - new collector Rd</t>
  </si>
  <si>
    <t>West Rangiora DCA</t>
  </si>
  <si>
    <t>Woodend DCA</t>
  </si>
  <si>
    <t>Woodend DCA (Commercial) (m2)</t>
  </si>
  <si>
    <t>Residential Zones</t>
  </si>
  <si>
    <t>Contribution (Ex GST)</t>
  </si>
  <si>
    <t>Contribution (Including GST)</t>
  </si>
  <si>
    <t>Contribution per additional allotment or additional household unit equivalent</t>
  </si>
  <si>
    <t>Proportion of total for growth funded by development contributions</t>
  </si>
  <si>
    <t>Projected growth/total number</t>
  </si>
  <si>
    <t>Contribution (Excluding GST)</t>
  </si>
  <si>
    <t>Contribution per unit</t>
  </si>
  <si>
    <t>North East Kaiapoi Water Development Contribution Calculation (MAP KAI 1)</t>
  </si>
  <si>
    <t>West Kaiapoi Water Development Contribution Calculation (MAP KAI 2)</t>
  </si>
  <si>
    <t>East Rangiora Water Development Contribution Calculation (MAP RGA 4)</t>
  </si>
  <si>
    <t>North Rangiora Water Development Contribution Calculation (MAP RGA 6)</t>
  </si>
  <si>
    <t>West Rangiora Water Development Contribution Calculation (MAP RGA 9)</t>
  </si>
  <si>
    <t>Projected growth/total number (sq metres</t>
  </si>
  <si>
    <t>Southbrook Water Development Contribution Calculation (MAP RGA 1)</t>
  </si>
  <si>
    <t>Woodend Scheme Water Development Contribution Calculation</t>
  </si>
  <si>
    <t>Woodend Tuahiwi Water Development Contribution Calculation (MAP TUA 1)</t>
  </si>
  <si>
    <t>Kaiapoi Scheme Sewer Development Contribution Calculation</t>
  </si>
  <si>
    <t>North East Kaiapoi Sewer Development Contribution Calculation (MAP KAI 1)</t>
  </si>
  <si>
    <t>East North East Kaiapoi Reticulation Sewer Development Contribution Calculation (MAP KAI 4)</t>
  </si>
  <si>
    <t>West Kaiapoi Sewer Development Contribution Calculation (MAP KAI 2)</t>
  </si>
  <si>
    <t>Amalgamation Mandeville, Ohoka Swannanoa Sewer Development Contribution Calculation (MAP MSO 1)</t>
  </si>
  <si>
    <t>Oxford Sewer Development Contribution Calculation (MAP OXF 1)</t>
  </si>
  <si>
    <t>Rangiora Scheme Sewer Development Contribution Calculation</t>
  </si>
  <si>
    <t>East Rangiora Sewer Development Contribution Calculation (MAP RGA 6)</t>
  </si>
  <si>
    <t>Outer West Rangiora Sewer Development Contribution Calculation (MAP RGA 9)</t>
  </si>
  <si>
    <t>Southbrook Sewer Development Contribution Calculation (MAP RGA 2)</t>
  </si>
  <si>
    <t>Woodend Scheme Sewer Development Contribution Calculation</t>
  </si>
  <si>
    <t>East Woodend Sewer Development Contribution Calculation (MAP WND 1A)</t>
  </si>
  <si>
    <t>Kaiapoi Drainage Development Contribution Calculation (MAP KAI 7)</t>
  </si>
  <si>
    <t>North East Kaiapoi Drainage Development Contribution Calculation (MAP KAI 1)</t>
  </si>
  <si>
    <t>West Kaiapoi Drainage Development Contribution Calculation (MAP KAI 2)</t>
  </si>
  <si>
    <t>Rangiora Drainage Development Contribution Calculation (MAP RGA 12)</t>
  </si>
  <si>
    <t>East Rangiora Drainage Development Contribution Calculation (MAP RGA 5)</t>
  </si>
  <si>
    <t>North Rangiora Drainage Development Contribution Calculation (MAP RGA 7)</t>
  </si>
  <si>
    <t>Projected growth/total number (Sq metres)</t>
  </si>
  <si>
    <t>Southbrook Drainage Development Contribution Calculation  (MAP RGA 3)</t>
  </si>
  <si>
    <t>East Woodend Drainage Development Contribution Calculation (MAP WND 1)</t>
  </si>
  <si>
    <t>Woodend Drainage Development Contribution Calculation</t>
  </si>
  <si>
    <t>Nett capital cost for growth</t>
  </si>
  <si>
    <t>Projected growth/total numbers</t>
  </si>
  <si>
    <t>North Kaiapoi Roading Development Contribution Calculation (MAP KAI 6)</t>
  </si>
  <si>
    <t>West Kaiapoi Roading Development Contribution Calculation (MAPS KAI 2 AND 3)</t>
  </si>
  <si>
    <t>South West Rangiora Roading Development Contribution Calculation (MAP RGA 11)</t>
  </si>
  <si>
    <t>Outer West Rangiora Roading Development Contribution Calculation (MAP RGA 10)</t>
  </si>
  <si>
    <t>Southbrook Roading Development Contribution Calculation (MAP RGA 1)</t>
  </si>
  <si>
    <t>East Woodend Roading Development Contribution Calculation (MAP WND 1)</t>
  </si>
  <si>
    <t>Calculation based upon capital expenditure in Long Term Plan</t>
  </si>
  <si>
    <t>NOTE: This is the lesser of calculation based upon capital expenditure in Long Term Plan and 7.5% of Land Value</t>
  </si>
  <si>
    <t>Extra over - Oxford Road Supply Main  - Stage 1</t>
  </si>
  <si>
    <t>North East Kaiapoi Drainage Commercial</t>
  </si>
  <si>
    <t>Woodend Drainage Commercial</t>
  </si>
  <si>
    <t>E/O- Southbrook Ring Main - Stage 1</t>
  </si>
  <si>
    <t>Todds Rd PS and Rising Main to Rangiora WWTP</t>
  </si>
  <si>
    <t>North East Kaiapoi Commercial (m2)</t>
  </si>
  <si>
    <t>Contribution per hectare</t>
  </si>
  <si>
    <t>Todds Rd Business Zone (per hectare)</t>
  </si>
  <si>
    <t>Todds Rd Business Zone Drainage Development Contribution Calculation (MAP RGA 13)</t>
  </si>
  <si>
    <t>Todds Rd Business Zone Development Contribution Calculation (MAP RGA 13)</t>
  </si>
  <si>
    <t>Pond A, Land acquisition of Pond A, and extra overs</t>
  </si>
  <si>
    <t>Trunk Main from Development to Ohoka Road &amp; Island Road Pump Station</t>
  </si>
  <si>
    <t>Woodend WWTP new aerators in pond 2A</t>
  </si>
  <si>
    <t>South Belt gravity main Townsend Rd - Southbrook Park</t>
  </si>
  <si>
    <t xml:space="preserve"> Southbrook supply main - design</t>
  </si>
  <si>
    <t>Source upgrade Smith St bore (Drilling 4th bore 2013/14)</t>
  </si>
  <si>
    <t>Develop Smith St 4th Bore and pipework from pumpstation to 4th bore, and 4th bore to 5th bore</t>
  </si>
  <si>
    <t>Water Main from Peraki St Headworks to Peraki St</t>
  </si>
  <si>
    <t>New aerators</t>
  </si>
  <si>
    <t>East Woodend Upgrade McIntosh Drain</t>
  </si>
  <si>
    <t>Tram Road Sewer Upgrade</t>
  </si>
  <si>
    <t>Ohoka Rural Townsend Fields Drainage ponds</t>
  </si>
  <si>
    <t>Extra Over - Beach Grove (formerly Ruby Views) Sewer Rising Main</t>
  </si>
  <si>
    <t>North Rangiora - Enverton Drive Ashley Street - SMA Basin Land, Pond, Reticulation</t>
  </si>
  <si>
    <t>North Rangiora - Enverton Drive Ballarat Road - SMA</t>
  </si>
  <si>
    <t>Bradleys Rd Pump Station, Pipeline to Rga WWTP</t>
  </si>
  <si>
    <t>High St 2 Way/Upgrade Blake St carpark</t>
  </si>
  <si>
    <t xml:space="preserve">Future Expenditure </t>
  </si>
  <si>
    <t>Source Upgrade</t>
  </si>
  <si>
    <t>Cust supply main upgrade</t>
  </si>
  <si>
    <t>New well</t>
  </si>
  <si>
    <t xml:space="preserve">Past Expenditure </t>
  </si>
  <si>
    <t>Soley growth related</t>
  </si>
  <si>
    <t>E/o West Kaiapoi North Supply Main - Stage 1 (Area E - SPA)</t>
  </si>
  <si>
    <t>E/o North East Supply Main - Stage 1 (Area A - SPA)</t>
  </si>
  <si>
    <t>West Kaiapoi Trunk Main</t>
  </si>
  <si>
    <t>Two Chain Road 3rd Well</t>
  </si>
  <si>
    <t>Upgrade Caustic Storage Mandeville</t>
  </si>
  <si>
    <t>Driveway realignment Mandeville</t>
  </si>
  <si>
    <t>High St rider main</t>
  </si>
  <si>
    <t>Oxford Road Trunk Main</t>
  </si>
  <si>
    <t>Gammans Creek Backup Source</t>
  </si>
  <si>
    <t>Oxford Rural No.1 Back-up well</t>
  </si>
  <si>
    <t xml:space="preserve">Stubbs Road Booster Main Stage 1 </t>
  </si>
  <si>
    <t>Rangiora Source Upgrade - Develop fifth bore Smith Street borefield</t>
  </si>
  <si>
    <t>Ayers Street 4th Surface Pump Installation</t>
  </si>
  <si>
    <t xml:space="preserve">South Belt Booster Main - Stage 1 </t>
  </si>
  <si>
    <t xml:space="preserve">South Belt Booster Main - Stage 2 </t>
  </si>
  <si>
    <t>New mains Ivory Street</t>
  </si>
  <si>
    <t xml:space="preserve">North Rangiora ring main  </t>
  </si>
  <si>
    <t>North Rangiora ring main</t>
  </si>
  <si>
    <t>Hunters Glen Pump Upgrade Stage 1</t>
  </si>
  <si>
    <t>Rangiora Woodend Road Booster Main - Stage 1</t>
  </si>
  <si>
    <t xml:space="preserve">James Drive Main Upgrade </t>
  </si>
  <si>
    <r>
      <t>All contribution charges are shown</t>
    </r>
    <r>
      <rPr>
        <sz val="10"/>
        <color rgb="FFFF0000"/>
        <rFont val="Arial Narrow"/>
        <family val="2"/>
      </rPr>
      <t xml:space="preserve"> inclusive</t>
    </r>
    <r>
      <rPr>
        <sz val="10"/>
        <rFont val="Arial Narrow"/>
        <family val="2"/>
      </rPr>
      <t xml:space="preserve"> of GST.</t>
    </r>
  </si>
  <si>
    <t>Rangiora Woodend Road Improvements including Boys Road</t>
  </si>
  <si>
    <t>Woodend Improvements in conjunction with NZTA PBC and Woodend Bypass</t>
  </si>
  <si>
    <t>Coldstream/Golflinks Intersection improvement</t>
  </si>
  <si>
    <t xml:space="preserve">Solely growth related projects </t>
  </si>
  <si>
    <t>Rangiora - Second Aeration Basin</t>
  </si>
  <si>
    <t>Rangiora Aeration Basin</t>
  </si>
  <si>
    <t>Rangiora - Central Rangiora Capacity Upgrade Stage 6</t>
  </si>
  <si>
    <t>Rangiora - Central Rangiora Capacity Upgrade Stage 8</t>
  </si>
  <si>
    <t>Cust Supply and Fire Main Upgrade</t>
  </si>
  <si>
    <t>Future expenditure</t>
  </si>
  <si>
    <t xml:space="preserve">Connection of Ohoka Utilities </t>
  </si>
  <si>
    <t>Less Commercial Costs</t>
  </si>
  <si>
    <t>Johns Road Stormwater</t>
  </si>
  <si>
    <t xml:space="preserve">Future expenditure </t>
  </si>
  <si>
    <t>Bay Road and Gammans Creek reservoir replacement</t>
  </si>
  <si>
    <t>Lehmans Rd and Oxford Road Link Main</t>
  </si>
  <si>
    <t>Southbrook Ring Main - Stage 2</t>
  </si>
  <si>
    <t>Rangiora - Additional Aeration WWTP Ponds</t>
  </si>
  <si>
    <t xml:space="preserve">Rangiora Inlet Works </t>
  </si>
  <si>
    <t>Connection of Ohoka Utilities</t>
  </si>
  <si>
    <t>Ohoka Village Reticulation Construction</t>
  </si>
  <si>
    <t xml:space="preserve">E/O - Upgrade ODP Gravity Mains </t>
  </si>
  <si>
    <t>Land Purchase</t>
  </si>
  <si>
    <t>Cost of Finance</t>
  </si>
  <si>
    <t>Mill Road ODP</t>
  </si>
  <si>
    <t>Amalgamation of Mandeville, Ohoka, Swannanoa</t>
  </si>
  <si>
    <t>Oxford Sewer</t>
  </si>
  <si>
    <t>South West Rangiora Drainage Development Contribution Calculation (MAP RGA 9A)</t>
  </si>
  <si>
    <t>Solely Growth (including interest)</t>
  </si>
  <si>
    <t>Fernside Sewer Development Contribution Calculation (MAP )</t>
  </si>
  <si>
    <t>Tuahiwi Sewer Development Contribution Calculation (MAP )</t>
  </si>
  <si>
    <t>Sale of surplus land</t>
  </si>
  <si>
    <t>Cost of Funding</t>
  </si>
  <si>
    <t>Past Expenditure (inlcuding interest)</t>
  </si>
  <si>
    <t>Darnley Square Source</t>
  </si>
  <si>
    <t>Past expenditure (solely growth)</t>
  </si>
  <si>
    <t>Mandeville Storage upgrade</t>
  </si>
  <si>
    <t>Additional Equestrian Source Well</t>
  </si>
  <si>
    <t>Kaiapoi Capacity Upgrade  (Years 1-10)</t>
  </si>
  <si>
    <t>E/O sewer Spark Lane Extension</t>
  </si>
  <si>
    <t>Central Rga Railway Rd to WWTP Const - West Rga portion</t>
  </si>
  <si>
    <t>Kaiapoi to Belfast Cycleway</t>
  </si>
  <si>
    <t>Kaiapoi Roading Improvements</t>
  </si>
  <si>
    <t>Walking and Cycling Strategy Implementation</t>
  </si>
  <si>
    <t>Urban Cycleway Programme - Rangiora to Kaiapoi</t>
  </si>
  <si>
    <t>Urban Cycleway Programme – Rangiora to Woodend</t>
  </si>
  <si>
    <t>Silverstream Collector Rd</t>
  </si>
  <si>
    <t>Ashley Gorge Trunk Main - Stage 1</t>
  </si>
  <si>
    <t>Ashley Gorge Trunk Main Oxford No 2</t>
  </si>
  <si>
    <t>Source Capacity Upgrade Waikuku Beach</t>
  </si>
  <si>
    <t>Chinnerys Rd Main Upgrade Woodend</t>
  </si>
  <si>
    <t>Petries Road Water Main</t>
  </si>
  <si>
    <t>Rangiora Woodend Road Main Upgrade</t>
  </si>
  <si>
    <t>Central Rangiora Capacity Upgrade Design</t>
  </si>
  <si>
    <t>Partially Growth Related Projects</t>
  </si>
  <si>
    <t>Traffic Demand MGMT/Modelling</t>
  </si>
  <si>
    <t>Lehmans Road/Road 5 Connection</t>
  </si>
  <si>
    <t>E/O Southwest Rangiora Supply Main - Stage 1</t>
  </si>
  <si>
    <t>New Source (Connection to Rangiora Water)</t>
  </si>
  <si>
    <t>North Kaiapoi East Boost Main</t>
  </si>
  <si>
    <r>
      <t xml:space="preserve">Past Expenditure </t>
    </r>
    <r>
      <rPr>
        <i/>
        <sz val="11"/>
        <rFont val="Calibri"/>
        <family val="2"/>
        <scheme val="minor"/>
      </rPr>
      <t>(Area E)</t>
    </r>
  </si>
  <si>
    <r>
      <t xml:space="preserve">Past Expenditure </t>
    </r>
    <r>
      <rPr>
        <i/>
        <sz val="11"/>
        <color theme="1"/>
        <rFont val="Calibri"/>
        <family val="2"/>
        <scheme val="minor"/>
      </rPr>
      <t>(Area A)</t>
    </r>
  </si>
  <si>
    <t xml:space="preserve">Past expenditure </t>
  </si>
  <si>
    <t>Rockford/Depot Trunk Main - Stage 1A</t>
  </si>
  <si>
    <t>Rockford/Depot Trunk Main - Stage 1B</t>
  </si>
  <si>
    <t>Domain Road new well</t>
  </si>
  <si>
    <t>Pump upgrading</t>
  </si>
  <si>
    <t>Rangiora Alternative Source</t>
  </si>
  <si>
    <t>Trunk Watermain Woodend - Tuahiwi</t>
  </si>
  <si>
    <t>Watermain extension -Topito Road</t>
  </si>
  <si>
    <t>E/O Tuahiwi Supply Main</t>
  </si>
  <si>
    <t>Tuahiwi Water Supply</t>
  </si>
  <si>
    <t>South Belt Reservoir</t>
  </si>
  <si>
    <t>Townsend Road/West Belt Stormwater Pipe</t>
  </si>
  <si>
    <t>East Woodend Detention Pond (2019)</t>
  </si>
  <si>
    <t>East Woodend Detention Pond (2008)</t>
  </si>
  <si>
    <t>East Woodend Internal Reticulation</t>
  </si>
  <si>
    <t>Upgrade McIntosh Drain</t>
  </si>
  <si>
    <t>WRSPA E/O - 225 Gravity Main</t>
  </si>
  <si>
    <t>Plant Enhancements</t>
  </si>
  <si>
    <t>Cantral Rangiora Capacity Upgrade - Stage 3</t>
  </si>
  <si>
    <t>Park Avenue Main Upgrade</t>
  </si>
  <si>
    <t>Future Expenditure (Source Projects)</t>
  </si>
  <si>
    <t>-</t>
  </si>
  <si>
    <t>North East Rangiora Drainage Improvement</t>
  </si>
  <si>
    <t>Southbrook Pipeline - Southern Cross to Flaxton</t>
  </si>
  <si>
    <t>West Kaiapoi New Arterial</t>
  </si>
  <si>
    <t>West Belt Extension to Townsend Rd</t>
  </si>
  <si>
    <t>Doncaster Developments Land Purchase</t>
  </si>
  <si>
    <t>Canterbury Jockey Club Land Purchase</t>
  </si>
  <si>
    <t>Westpark Rangiora Ltd Land Purchase</t>
  </si>
  <si>
    <t>South West Rangiora DCA</t>
  </si>
  <si>
    <t>Sports Ground Development</t>
  </si>
  <si>
    <t>Cust Surface Pump Upgrade</t>
  </si>
  <si>
    <t>Garrymere Backup Well</t>
  </si>
  <si>
    <t>Garrymere Water Capacity Upgrade</t>
  </si>
  <si>
    <t>2021-31 Budget for Long Term Plan</t>
  </si>
  <si>
    <t>Mandeville Surface Pump Upgrade 1</t>
  </si>
  <si>
    <t>Mandeville Headworks Surface Pump Upgrade 2</t>
  </si>
  <si>
    <t>Main Street Trunk Main Upgrade</t>
  </si>
  <si>
    <t>Woodstock Road Main Upgrade</t>
  </si>
  <si>
    <t>Harmans Gorge Road Upgrade</t>
  </si>
  <si>
    <t>German Road Booster Main</t>
  </si>
  <si>
    <t>Warren/Harewood Road Main Upgrade</t>
  </si>
  <si>
    <t>Oxford Urban and Oxford No 2 Source Upgrade 1 (Oxford No 2 Share)</t>
  </si>
  <si>
    <t>Poyntzs Road Water Source Upgrade</t>
  </si>
  <si>
    <t>Rangiora Source Upgrade 1</t>
  </si>
  <si>
    <t>Ayers Street Supply Main</t>
  </si>
  <si>
    <t>Alternative/New Source</t>
  </si>
  <si>
    <t>Future expenditure (including interest)</t>
  </si>
  <si>
    <t>East Rangiora Northern Link Main</t>
  </si>
  <si>
    <t>Northeast Rangiora Supply Main</t>
  </si>
  <si>
    <t>East Belt Booster Main</t>
  </si>
  <si>
    <t>Mairaki Downs Eastern Pipeline</t>
  </si>
  <si>
    <t>Davis Road Trunk Main Upgrade 2</t>
  </si>
  <si>
    <t>Catherwoods Road Ring Main</t>
  </si>
  <si>
    <t>West Eyreton Surface Pump Upgrade</t>
  </si>
  <si>
    <t>Woodend Ravenswood Eastern Link Main</t>
  </si>
  <si>
    <t>Welsford Street Upgrade</t>
  </si>
  <si>
    <t>Pegasus Waikuku Link Main Stage 1</t>
  </si>
  <si>
    <t>Pegasus Surface Pump Upgrade</t>
  </si>
  <si>
    <t>Outer East Rangiora</t>
  </si>
  <si>
    <t>Woodend New Oxidation Pond</t>
  </si>
  <si>
    <t>Kaiapoi Capacity Upgrade</t>
  </si>
  <si>
    <t>UV System</t>
  </si>
  <si>
    <t>Central Rangiora Capacity Upgrade - Stage 4</t>
  </si>
  <si>
    <t>Outer East Rangiora Sewer Development Contribution Calculation (MAP RGA XX)</t>
  </si>
  <si>
    <t>Outer East Rangiora Sewer</t>
  </si>
  <si>
    <t>Fernside Sewer Upgrade</t>
  </si>
  <si>
    <t>Tuahiwi Water Extension Greens Road</t>
  </si>
  <si>
    <t>Tuahiwi Water Extension Tuahiwi Road</t>
  </si>
  <si>
    <t>Tuahiwi Sewer Extension Greens Road</t>
  </si>
  <si>
    <t>Tuahiwi Sewer Extension Tuahiwi Road</t>
  </si>
  <si>
    <t>Turiwhaia Pump Station &amp; Reticulation Upgrades</t>
  </si>
  <si>
    <t>Pump Station, Gravity and Rising Main Connection to Rangiora</t>
  </si>
  <si>
    <t>Loburn Lea Sewer</t>
  </si>
  <si>
    <t xml:space="preserve">Loburn Lea Development Contribution Calculation </t>
  </si>
  <si>
    <t>East North East Kaiapoi Drainage Development Contribution Calculation (MAP KAI 4)</t>
  </si>
  <si>
    <t>McIntosh Drain Improvements</t>
  </si>
  <si>
    <t>East North East Kaiapoi</t>
  </si>
  <si>
    <t>Townsend Field - E/O Pipework</t>
  </si>
  <si>
    <t>Mill Road SMA</t>
  </si>
  <si>
    <t>Fernside Flaxton Intersection</t>
  </si>
  <si>
    <t>Ravenswood Park &amp; Ride</t>
  </si>
  <si>
    <t>West Rangiora Route Improvements</t>
  </si>
  <si>
    <t>Rangiora Woodend Rd/ Boys Rd/ Tuahiwi Rd Intersection</t>
  </si>
  <si>
    <t>Ohoka/Island Road Implementation</t>
  </si>
  <si>
    <t>Robert Coup Dr/Ohoka Rd Implementation</t>
  </si>
  <si>
    <t>Skew Bridge Active Warning Safety Improvements</t>
  </si>
  <si>
    <t>Skewbridge Replacement</t>
  </si>
  <si>
    <t>Southbrook Rd/Torlesse St/Coronation St - Intersection Improvements - Traffic Signals</t>
  </si>
  <si>
    <t>River Road - Ashley to Enverton - Associated with Park &amp; Ride and includes shared path upgrade</t>
  </si>
  <si>
    <t>Charles Upham Dr/Oxford Rd Roundabout</t>
  </si>
  <si>
    <t>Oxford Rd/Lehmans Rd Roundabout</t>
  </si>
  <si>
    <t>Fawcetts Rd/Cones Rd Intersection</t>
  </si>
  <si>
    <t>Swannanoa Rd/Johns Rd</t>
  </si>
  <si>
    <t>Ashley Gorge Rd/German Rd</t>
  </si>
  <si>
    <t>Northbrook Rd/Ivory St Intersection</t>
  </si>
  <si>
    <t>Marsh Rd/Waikoruru Rd - Sealing of unsealed Rd</t>
  </si>
  <si>
    <t>Marsh Rd/Railway Rd Intersection</t>
  </si>
  <si>
    <t>Southbrook Rd Future Improvements</t>
  </si>
  <si>
    <t>Retail Parking Building</t>
  </si>
  <si>
    <t>North of High St New Road Link</t>
  </si>
  <si>
    <t>Land - Blake Street Extension</t>
  </si>
  <si>
    <t>Durham Land Purchase for Carparking</t>
  </si>
  <si>
    <t>Keir St Land Purchase</t>
  </si>
  <si>
    <t>Outer East Rangiora Roading Development Contribution Calculation (MAP RGA XX)</t>
  </si>
  <si>
    <t>Kaiapoi South MUBA Roading Development Contribution Calculation (MAPS KAI 2 AND 3)</t>
  </si>
  <si>
    <t>Kaiapoi East MUBA Roading Development Contribution Calculation (MAPS KAI 2 AND 3)</t>
  </si>
  <si>
    <t>Roading Upgrades for South MUBA</t>
  </si>
  <si>
    <t>Roading Upgrades for East MUBA</t>
  </si>
  <si>
    <t>Todds Road Extension Main</t>
  </si>
  <si>
    <t>Southbrook Ring Main - Stage 3</t>
  </si>
  <si>
    <t>Southbrook Ring Main - Stage 1</t>
  </si>
  <si>
    <t>Southwest Rangiora Supply Main Stage 1</t>
  </si>
  <si>
    <t xml:space="preserve">South Belt Link Main </t>
  </si>
  <si>
    <t>Sparks Land</t>
  </si>
  <si>
    <t>Rangiora EDS Pump Station - 3rd Pump</t>
  </si>
  <si>
    <t>Central Rangiora Capacity Upgrade - Stage 9</t>
  </si>
  <si>
    <t>North East Kaiapoi Water Development Contribution Calculation (MAP KAI 4)</t>
  </si>
  <si>
    <t>Darnley Square Source Supply Main Upgrade</t>
  </si>
  <si>
    <t>Townsend Fields E/O</t>
  </si>
  <si>
    <t>West Rangiora RA04 E/O</t>
  </si>
  <si>
    <t>West Rangiora RA03 E/O</t>
  </si>
  <si>
    <t>West Rangiora RA02 E/O</t>
  </si>
  <si>
    <t>North Rangiora Capacity Upgrade (part of Central Rangiora Sewer Stage 1)</t>
  </si>
  <si>
    <t>Outer East Rangiora Roading</t>
  </si>
  <si>
    <t>Kaiapoi South MUBA (m2)</t>
  </si>
  <si>
    <t>Kaiapoi East MUBA (m2)</t>
  </si>
  <si>
    <t xml:space="preserve">Eastern Districts </t>
  </si>
  <si>
    <t>Extra over Upgrading Sewer Main for Sovereign Palms Subdivision (North Kaiapoi Area A Wakeman Block)</t>
  </si>
  <si>
    <t>Central Rangiora Capacity Upgrade - Stage 1 (Railway Road to WWTP)</t>
  </si>
  <si>
    <t>West Kaiapoi Supply Main Stage 3</t>
  </si>
  <si>
    <t>Oxford Urban Rural No. 2 Reservoir Upgrade (Oxford Urban Share)</t>
  </si>
  <si>
    <t>Upgrade Charles St Rising Main (Area E SPA)</t>
  </si>
  <si>
    <t xml:space="preserve">Mill Road SMA </t>
  </si>
  <si>
    <t>Darnley Surface Pump Upgrade</t>
  </si>
  <si>
    <t>E/o North East Supply Main - Stage 2 (Area A - SPA)</t>
  </si>
  <si>
    <t>Sovereign Boulevard Extension</t>
  </si>
  <si>
    <t>Magnolia Boulevard Extension</t>
  </si>
  <si>
    <t>E/o West Kaiapoi North Supply Main - Stage 2 (along Peraki to Fuller)</t>
  </si>
  <si>
    <t>Oxford Urban and Oxford No 2 Reservoir Upgrade 1 (Oxford No 2 Share)</t>
  </si>
  <si>
    <t>2) The Tuahiwi Water DC covers the cost of installing the water main from Woodend to Tuahiwi and surrounding rural area.</t>
  </si>
  <si>
    <t>3) The Woodend-Tuahiwi Water DC covers the cost of upgrades within the Woodend network that are needed to service growth within the Tuahiwi DC area.  The Woodend-Tuahiwi Water DC should never be more than the Woodend Water DC.</t>
  </si>
  <si>
    <t>4) As a broad principle, the Woodend-Tuahiwi DC will include upgrades to sources, treatment, storage reservoirs, pumps and other headworks components, but will exclude reticulation upgrades within the Woodend network.</t>
  </si>
  <si>
    <t>Pentecost Road Stormwater Main</t>
  </si>
  <si>
    <t>East Rangiora North/South Collector Road</t>
  </si>
  <si>
    <t>Kippenberger/MacPhail Roundabout</t>
  </si>
  <si>
    <t>Kaiapoi to Woodend Cycle Connection</t>
  </si>
  <si>
    <t>Woodend Improvements in Conjunction with NZTA PBC</t>
  </si>
  <si>
    <t>Tram Rd Safety Improvements including McHughs Road</t>
  </si>
  <si>
    <t>Peraki St Cycleway</t>
  </si>
  <si>
    <t>Williams St Cycleway (Main North Rd to Vickery)</t>
  </si>
  <si>
    <t>Rangiora Woodend Rd (at Chinnerys Rd)</t>
  </si>
  <si>
    <t>Lineside Rd Share Path</t>
  </si>
  <si>
    <t>Smith Street/Williams Street Intersection Improvements</t>
  </si>
  <si>
    <t>North/South Collector Road</t>
  </si>
  <si>
    <t>East/West Collector Road Shared Path</t>
  </si>
  <si>
    <t>Johns Rd West Supply Main</t>
  </si>
  <si>
    <t>Southwest Rangiora Supply Main Stage 2</t>
  </si>
  <si>
    <t>Southwest Rangiora Supply Main Stage 3</t>
  </si>
  <si>
    <t>Lehmans Rd Ring Main Stage 2</t>
  </si>
  <si>
    <t>Davis / Terrace Road Trunk Main</t>
  </si>
  <si>
    <t>Annual Plan 2022-23</t>
  </si>
  <si>
    <t>Annual Plan 2023-24</t>
  </si>
  <si>
    <t>2023-24 Budget for Annual Plan</t>
  </si>
  <si>
    <t>Rangiora Source Upgrade 2</t>
  </si>
  <si>
    <t>Eastern Rangiora Booster Main</t>
  </si>
  <si>
    <t>East Rangiora Eastern Link Main</t>
  </si>
  <si>
    <t>Johns Road East Supply Main</t>
  </si>
  <si>
    <t>Northbrook Road Booster Main</t>
  </si>
  <si>
    <t>North Northeast Rangiora Supply Main</t>
  </si>
  <si>
    <t>Less IAF Funding subsidy</t>
  </si>
  <si>
    <t>Chinnerys Road Reservoir Upgrade 1</t>
  </si>
  <si>
    <t>Central Rangiora Capacity Upgrade - Stage 5</t>
  </si>
  <si>
    <t>WWPS #1</t>
  </si>
  <si>
    <t>RM#1 to WWTP</t>
  </si>
  <si>
    <t>WWPS #2</t>
  </si>
  <si>
    <t>RM#2 to Ex. Northbrook PS</t>
  </si>
  <si>
    <t>Growth area is defined as non-Bellgrove land north of Kippenberger and between Kippenberger and Northbrook Rd.  A separate DC to be set up for south of Northbrook Rd.</t>
  </si>
  <si>
    <t>Waikuku Beach Kings Ave Wastewater Rising Main Replacement</t>
  </si>
  <si>
    <t>Widen Skewbridge Rd - Skew Bridge to Mulcocks</t>
  </si>
  <si>
    <t>Widen Skewbridge Rd - Mulcocks to Threlkelds</t>
  </si>
  <si>
    <t>Widen Flaxton - Threlkelds to Camwell Park</t>
  </si>
  <si>
    <t>Widen Flaxton - Camwell Park to Fernside Rd</t>
  </si>
  <si>
    <t>Flaxton/Camwell Park Right Turn Bay</t>
  </si>
  <si>
    <t>Widen culvert on Townsend Rd</t>
  </si>
  <si>
    <t>Widen Townsend Rd (South Belt to 100m N of Fernside Rd)</t>
  </si>
  <si>
    <t>Fernside/Townsend Intersection</t>
  </si>
  <si>
    <t>Lehmans/Johns Intersection</t>
  </si>
  <si>
    <t>Lehmans Widening - Oxford Rd - Johns Rd</t>
  </si>
  <si>
    <t>Lehmans Widening - Johns Rd to Fernside Rd</t>
  </si>
  <si>
    <t>Lehmans/Fernside Intersection</t>
  </si>
  <si>
    <t>Fernside/Todds Intersection</t>
  </si>
  <si>
    <t>Flaxton/Fernside Rd East</t>
  </si>
  <si>
    <t>Fernside/Easterbrook Rd</t>
  </si>
  <si>
    <t>Fernside Widening - Lehmans Rd to Easterbrook</t>
  </si>
  <si>
    <t>Fernside Widening - Easterbrook to Townsend</t>
  </si>
  <si>
    <t>Fernside Widening - Townsend to Todds Rd</t>
  </si>
  <si>
    <t>Fernside Widening - Todds Rd to Flaxton</t>
  </si>
  <si>
    <t>Fernside Rd/Townsend Rd Roundabout</t>
  </si>
  <si>
    <t>Realignment and Safety Improvements  No 10 / Tram Road Intersection</t>
  </si>
  <si>
    <t>Realignment and Safety Improvements  Oxford / Tram Road Intersection</t>
  </si>
  <si>
    <t>Intersection Safety Improvements South Eyre Road / Giles Road / Tram Road Intersection</t>
  </si>
  <si>
    <t>Intersection Safety Improvements Two Chain Road / Tram Road Intersection</t>
  </si>
  <si>
    <t>Shoulder / Lane Widening – Burgesses to Swannanoa School and Localised Areas</t>
  </si>
  <si>
    <t>Extra over to widen an additional 0.5m including linemarking to install wide centreline</t>
  </si>
  <si>
    <t>Intersection Upgrades Island Road / Greigs Road / Tram Road</t>
  </si>
  <si>
    <t>Intersection Upgrades Heywards Road / Tram Road</t>
  </si>
  <si>
    <t>Intersection Upgrades Whites Road / Tram Road</t>
  </si>
  <si>
    <t>28 Roundabout installation at Bradleys / McHughs / Tram Road Intersection</t>
  </si>
  <si>
    <t>Intersection Turning Treatments  Northwood Road / Tram Road</t>
  </si>
  <si>
    <t>Intersection Turning Treatments Poyntzs Road / Tram Road</t>
  </si>
  <si>
    <t>Intersection Turning Treatments  Raddens Road / Tram Road</t>
  </si>
  <si>
    <t>Intersection Turning Treatments Burgesses Road / Tram Road</t>
  </si>
  <si>
    <t>Extra Over Item 3D to upgrade Poyntz Road and Northwood Road to MOTSAM Figure 3.25a</t>
  </si>
  <si>
    <t>2.0m Shoulder Widening East of Burgesses Road</t>
  </si>
  <si>
    <t xml:space="preserve"> Additional Delineation   Install RRPM’s and additional marker posts.</t>
  </si>
  <si>
    <t>Additional Delineation  Install ATP Edge lines</t>
  </si>
  <si>
    <t xml:space="preserve"> Additional Delineation Install ATP Centerline (assumed one centerline)</t>
  </si>
  <si>
    <t>Rangiora Woodend Rd Traffic Calming</t>
  </si>
  <si>
    <t>Southbrook Rd/ South Belt improvements</t>
  </si>
  <si>
    <t>Skew Bridge Active Warning/Safety Improvements</t>
  </si>
  <si>
    <t>Main North Rd/Wrights Rd Intersection - safety concerns</t>
  </si>
  <si>
    <t>Minor Improvements</t>
  </si>
  <si>
    <t>Town Centre Developments</t>
  </si>
  <si>
    <t>Eastern Link Road (Rangiora)</t>
  </si>
  <si>
    <t>Pentecost Road SMA Growth</t>
  </si>
  <si>
    <t>No 10 Road Northern Link Main</t>
  </si>
  <si>
    <t>Less Ravenswood contribution</t>
  </si>
  <si>
    <t>EASTERN LINK ROAD</t>
  </si>
  <si>
    <t>Outer East Rangiora Roading (Eastern Link Road)</t>
  </si>
  <si>
    <r>
      <t xml:space="preserve">1) Tuahiwi properties pay the Woodend-Tuahiwi Water DC </t>
    </r>
    <r>
      <rPr>
        <i/>
        <u/>
        <sz val="11"/>
        <color theme="1"/>
        <rFont val="Calibri"/>
        <family val="2"/>
        <scheme val="minor"/>
      </rPr>
      <t>in addition to</t>
    </r>
    <r>
      <rPr>
        <i/>
        <sz val="11"/>
        <color theme="1"/>
        <rFont val="Calibri"/>
        <family val="2"/>
        <scheme val="minor"/>
      </rPr>
      <t xml:space="preserve"> the Tuahiwi Water DC.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</si>
</sst>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1" formatCode="_(* #,##0_);_(* \(#,##0\);_(* &quot;-&quot;_);_(@_)"/>
    <numFmt numFmtId="164" formatCode="&quot;$&quot;#,##0;[Red]\-&quot;$&quot;#,##0"/>
    <numFmt numFmtId="165" formatCode="&quot;$&quot;#,##0.00;[Red]\-&quot;$&quot;#,##0.0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* #,##0_-;\-* #,##0_-;_-* &quot;-&quot;??_-;_-@_-"/>
    <numFmt numFmtId="170" formatCode="0.0%"/>
    <numFmt numFmtId="171" formatCode="_-* #,##0.00_-;\-* #,##0.00_-;_-* &quot;-&quot;?_-;_-@_-"/>
    <numFmt numFmtId="172" formatCode="_(* #,##0.00_);_(* \(#,##0.00\);_(* &quot;-&quot;_);_(@_)"/>
    <numFmt numFmtId="173" formatCode="_(* #,##0.0_);_(* \(#,##0.0\);_(* &quot;-&quot;_);_(@_)"/>
    <numFmt numFmtId="174" formatCode="_-* #,##0_-;\-* #,##0_-;_-* &quot;-&quot;????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color indexed="19"/>
      <name val="Arial"/>
      <family val="2"/>
    </font>
    <font>
      <sz val="12"/>
      <color indexed="12"/>
      <name val="Arial MT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9"/>
      <color indexed="12"/>
      <name val="MS Sans Serif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1"/>
      <color theme="1"/>
      <name val="Arial Mäori"/>
      <family val="2"/>
    </font>
    <font>
      <sz val="11"/>
      <color theme="0"/>
      <name val="Arial Mäori"/>
      <family val="2"/>
    </font>
    <font>
      <sz val="11"/>
      <color rgb="FF9C0006"/>
      <name val="Arial Mäori"/>
      <family val="2"/>
    </font>
    <font>
      <b/>
      <sz val="11"/>
      <color rgb="FFFA7D00"/>
      <name val="Arial Mäori"/>
      <family val="2"/>
    </font>
    <font>
      <b/>
      <sz val="11"/>
      <color theme="0"/>
      <name val="Arial Mäori"/>
      <family val="2"/>
    </font>
    <font>
      <i/>
      <sz val="11"/>
      <color rgb="FF7F7F7F"/>
      <name val="Arial Mäori"/>
      <family val="2"/>
    </font>
    <font>
      <sz val="11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u/>
      <sz val="10"/>
      <color indexed="12"/>
      <name val="Arial"/>
      <family val="2"/>
    </font>
    <font>
      <sz val="11"/>
      <color rgb="FF3F3F76"/>
      <name val="Arial Mäori"/>
      <family val="2"/>
    </font>
    <font>
      <sz val="11"/>
      <color rgb="FFFA7D00"/>
      <name val="Arial Mäori"/>
      <family val="2"/>
    </font>
    <font>
      <sz val="11"/>
      <color rgb="FF9C6500"/>
      <name val="Arial Mäori"/>
      <family val="2"/>
    </font>
    <font>
      <b/>
      <sz val="11"/>
      <color rgb="FF3F3F3F"/>
      <name val="Arial Mäori"/>
      <family val="2"/>
    </font>
    <font>
      <b/>
      <sz val="11"/>
      <color theme="1"/>
      <name val="Arial Mäori"/>
      <family val="2"/>
    </font>
    <font>
      <sz val="11"/>
      <color rgb="FFFF0000"/>
      <name val="Arial Mäo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 Mäo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MS Sans Serif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 Narrow"/>
      <family val="2"/>
    </font>
    <font>
      <b/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456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13" fillId="2" borderId="0" applyNumberFormat="0" applyBorder="0" applyAlignment="0" applyProtection="0"/>
    <xf numFmtId="37" fontId="14" fillId="0" borderId="4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8" applyNumberFormat="0" applyAlignment="0" applyProtection="0"/>
    <xf numFmtId="0" fontId="24" fillId="8" borderId="9" applyNumberFormat="0" applyAlignment="0" applyProtection="0"/>
    <xf numFmtId="0" fontId="25" fillId="8" borderId="8" applyNumberFormat="0" applyAlignment="0" applyProtection="0"/>
    <xf numFmtId="0" fontId="26" fillId="0" borderId="10" applyNumberFormat="0" applyFill="0" applyAlignment="0" applyProtection="0"/>
    <xf numFmtId="0" fontId="27" fillId="9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6" borderId="0" applyNumberFormat="0" applyBorder="0" applyAlignment="0" applyProtection="0"/>
    <xf numFmtId="0" fontId="37" fillId="43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0" applyNumberFormat="0" applyBorder="0" applyAlignment="0" applyProtection="0"/>
    <xf numFmtId="0" fontId="35" fillId="48" borderId="14" applyNumberFormat="0" applyAlignment="0" applyProtection="0"/>
    <xf numFmtId="0" fontId="39" fillId="49" borderId="15" applyNumberFormat="0" applyAlignment="0" applyProtection="0"/>
    <xf numFmtId="40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5" fillId="2" borderId="14" applyNumberFormat="0" applyAlignment="0" applyProtection="0"/>
    <xf numFmtId="0" fontId="46" fillId="0" borderId="19" applyNumberFormat="0" applyFill="0" applyAlignment="0" applyProtection="0"/>
    <xf numFmtId="0" fontId="9" fillId="0" borderId="0"/>
    <xf numFmtId="0" fontId="3" fillId="0" borderId="0"/>
    <xf numFmtId="0" fontId="1" fillId="0" borderId="0"/>
    <xf numFmtId="0" fontId="3" fillId="37" borderId="20" applyNumberFormat="0" applyFont="0" applyAlignment="0" applyProtection="0"/>
    <xf numFmtId="0" fontId="47" fillId="48" borderId="21" applyNumberFormat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9" fillId="0" borderId="0"/>
    <xf numFmtId="0" fontId="57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52" fillId="13" borderId="0" applyNumberFormat="0" applyBorder="0" applyAlignment="0" applyProtection="0"/>
    <xf numFmtId="0" fontId="53" fillId="18" borderId="0" applyNumberFormat="0" applyBorder="0" applyAlignment="0" applyProtection="0"/>
    <xf numFmtId="0" fontId="9" fillId="0" borderId="0"/>
    <xf numFmtId="0" fontId="53" fillId="22" borderId="0" applyNumberFormat="0" applyBorder="0" applyAlignment="0" applyProtection="0"/>
    <xf numFmtId="0" fontId="31" fillId="0" borderId="0">
      <alignment horizontal="left"/>
    </xf>
    <xf numFmtId="0" fontId="56" fillId="9" borderId="11" applyNumberFormat="0" applyAlignment="0" applyProtection="0"/>
    <xf numFmtId="0" fontId="6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4" fillId="5" borderId="0" applyNumberFormat="0" applyBorder="0" applyAlignment="0" applyProtection="0"/>
    <xf numFmtId="0" fontId="52" fillId="25" borderId="0" applyNumberFormat="0" applyBorder="0" applyAlignment="0" applyProtection="0"/>
    <xf numFmtId="0" fontId="60" fillId="0" borderId="6" applyNumberFormat="0" applyFill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8" fontId="9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32" fillId="0" borderId="0">
      <alignment horizontal="left" vertical="center" wrapText="1"/>
    </xf>
    <xf numFmtId="0" fontId="53" fillId="34" borderId="0" applyNumberFormat="0" applyBorder="0" applyAlignment="0" applyProtection="0"/>
    <xf numFmtId="0" fontId="53" fillId="27" borderId="0" applyNumberFormat="0" applyBorder="0" applyAlignment="0" applyProtection="0"/>
    <xf numFmtId="0" fontId="5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15" borderId="0" applyNumberFormat="0" applyBorder="0" applyAlignment="0" applyProtection="0"/>
    <xf numFmtId="0" fontId="65" fillId="6" borderId="0" applyNumberFormat="0" applyBorder="0" applyAlignment="0" applyProtection="0"/>
    <xf numFmtId="0" fontId="32" fillId="0" borderId="0">
      <alignment horizontal="right"/>
    </xf>
    <xf numFmtId="0" fontId="52" fillId="2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52" fillId="28" borderId="0" applyNumberFormat="0" applyBorder="0" applyAlignment="0" applyProtection="0"/>
    <xf numFmtId="0" fontId="3" fillId="0" borderId="0"/>
    <xf numFmtId="0" fontId="1" fillId="0" borderId="0"/>
    <xf numFmtId="0" fontId="52" fillId="10" borderId="12" applyNumberFormat="0" applyFont="0" applyAlignment="0" applyProtection="0"/>
    <xf numFmtId="0" fontId="53" fillId="26" borderId="0" applyNumberFormat="0" applyBorder="0" applyAlignment="0" applyProtection="0"/>
    <xf numFmtId="0" fontId="32" fillId="0" borderId="0">
      <alignment horizontal="right"/>
    </xf>
    <xf numFmtId="0" fontId="55" fillId="8" borderId="8" applyNumberFormat="0" applyAlignment="0" applyProtection="0"/>
    <xf numFmtId="0" fontId="58" fillId="4" borderId="0" applyNumberFormat="0" applyBorder="0" applyAlignment="0" applyProtection="0"/>
    <xf numFmtId="0" fontId="1" fillId="0" borderId="0"/>
    <xf numFmtId="0" fontId="3" fillId="0" borderId="0"/>
    <xf numFmtId="0" fontId="59" fillId="0" borderId="5" applyNumberFormat="0" applyFill="0" applyAlignment="0" applyProtection="0"/>
    <xf numFmtId="0" fontId="53" fillId="14" borderId="0" applyNumberFormat="0" applyBorder="0" applyAlignment="0" applyProtection="0"/>
    <xf numFmtId="0" fontId="66" fillId="8" borderId="9" applyNumberFormat="0" applyAlignment="0" applyProtection="0"/>
    <xf numFmtId="0" fontId="52" fillId="33" borderId="0" applyNumberFormat="0" applyBorder="0" applyAlignment="0" applyProtection="0"/>
    <xf numFmtId="0" fontId="53" fillId="23" borderId="0" applyNumberFormat="0" applyBorder="0" applyAlignment="0" applyProtection="0"/>
    <xf numFmtId="0" fontId="53" fillId="19" borderId="0" applyNumberFormat="0" applyBorder="0" applyAlignment="0" applyProtection="0"/>
    <xf numFmtId="0" fontId="52" fillId="29" borderId="0" applyNumberFormat="0" applyBorder="0" applyAlignment="0" applyProtection="0"/>
    <xf numFmtId="0" fontId="52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32" fillId="0" borderId="0">
      <alignment horizontal="right"/>
    </xf>
    <xf numFmtId="0" fontId="68" fillId="0" borderId="0" applyNumberFormat="0" applyFill="0" applyBorder="0" applyAlignment="0" applyProtection="0"/>
    <xf numFmtId="0" fontId="63" fillId="7" borderId="8" applyNumberFormat="0" applyAlignment="0" applyProtection="0"/>
    <xf numFmtId="0" fontId="52" fillId="17" borderId="0" applyNumberFormat="0" applyBorder="0" applyAlignment="0" applyProtection="0"/>
    <xf numFmtId="0" fontId="9" fillId="0" borderId="0"/>
    <xf numFmtId="0" fontId="3" fillId="0" borderId="0"/>
    <xf numFmtId="0" fontId="52" fillId="16" borderId="0" applyNumberFormat="0" applyBorder="0" applyAlignment="0" applyProtection="0"/>
    <xf numFmtId="0" fontId="64" fillId="0" borderId="10" applyNumberFormat="0" applyFill="0" applyAlignment="0" applyProtection="0"/>
    <xf numFmtId="0" fontId="52" fillId="21" borderId="0" applyNumberFormat="0" applyBorder="0" applyAlignment="0" applyProtection="0"/>
    <xf numFmtId="0" fontId="52" fillId="0" borderId="0"/>
    <xf numFmtId="0" fontId="9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53" fillId="30" borderId="0" applyNumberFormat="0" applyBorder="0" applyAlignment="0" applyProtection="0"/>
    <xf numFmtId="0" fontId="70" fillId="36" borderId="0" applyNumberFormat="0" applyBorder="0" applyAlignment="0" applyProtection="0"/>
    <xf numFmtId="0" fontId="70" fillId="46" borderId="0" applyNumberFormat="0" applyBorder="0" applyAlignment="0" applyProtection="0"/>
    <xf numFmtId="0" fontId="70" fillId="52" borderId="0" applyNumberFormat="0" applyBorder="0" applyAlignment="0" applyProtection="0"/>
    <xf numFmtId="0" fontId="70" fillId="57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55" borderId="0" applyNumberFormat="0" applyBorder="0" applyAlignment="0" applyProtection="0"/>
    <xf numFmtId="0" fontId="70" fillId="41" borderId="0" applyNumberFormat="0" applyBorder="0" applyAlignment="0" applyProtection="0"/>
    <xf numFmtId="0" fontId="70" fillId="56" borderId="0" applyNumberFormat="0" applyBorder="0" applyAlignment="0" applyProtection="0"/>
    <xf numFmtId="0" fontId="71" fillId="40" borderId="0" applyNumberFormat="0" applyBorder="0" applyAlignment="0" applyProtection="0"/>
    <xf numFmtId="0" fontId="70" fillId="53" borderId="0" applyNumberFormat="0" applyBorder="0" applyAlignment="0" applyProtection="0"/>
    <xf numFmtId="0" fontId="69" fillId="42" borderId="0" applyNumberFormat="0" applyBorder="0" applyAlignment="0" applyProtection="0"/>
    <xf numFmtId="0" fontId="69" fillId="35" borderId="0" applyNumberFormat="0" applyBorder="0" applyAlignment="0" applyProtection="0"/>
    <xf numFmtId="0" fontId="69" fillId="47" borderId="0" applyNumberFormat="0" applyBorder="0" applyAlignment="0" applyProtection="0"/>
    <xf numFmtId="0" fontId="69" fillId="52" borderId="0" applyNumberFormat="0" applyBorder="0" applyAlignment="0" applyProtection="0"/>
    <xf numFmtId="0" fontId="69" fillId="36" borderId="0" applyNumberFormat="0" applyBorder="0" applyAlignment="0" applyProtection="0"/>
    <xf numFmtId="0" fontId="69" fillId="35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0" borderId="0" applyNumberFormat="0" applyBorder="0" applyAlignment="0" applyProtection="0"/>
    <xf numFmtId="0" fontId="69" fillId="50" borderId="0" applyNumberFormat="0" applyBorder="0" applyAlignment="0" applyProtection="0"/>
    <xf numFmtId="0" fontId="9" fillId="0" borderId="0"/>
    <xf numFmtId="0" fontId="34" fillId="0" borderId="0"/>
    <xf numFmtId="0" fontId="72" fillId="58" borderId="14" applyNumberFormat="0" applyAlignment="0" applyProtection="0"/>
    <xf numFmtId="0" fontId="73" fillId="49" borderId="15" applyNumberFormat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51" borderId="0" applyNumberFormat="0" applyBorder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79" fillId="38" borderId="14" applyNumberFormat="0" applyAlignment="0" applyProtection="0"/>
    <xf numFmtId="0" fontId="80" fillId="0" borderId="26" applyNumberFormat="0" applyFill="0" applyAlignment="0" applyProtection="0"/>
    <xf numFmtId="0" fontId="81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9" fillId="0" borderId="0"/>
    <xf numFmtId="0" fontId="9" fillId="0" borderId="0"/>
    <xf numFmtId="0" fontId="1" fillId="0" borderId="0"/>
    <xf numFmtId="0" fontId="34" fillId="0" borderId="0"/>
    <xf numFmtId="37" fontId="83" fillId="0" borderId="0"/>
    <xf numFmtId="0" fontId="69" fillId="37" borderId="20" applyNumberFormat="0" applyFont="0" applyAlignment="0" applyProtection="0"/>
    <xf numFmtId="0" fontId="84" fillId="58" borderId="21" applyNumberFormat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27" applyNumberFormat="0" applyFill="0" applyAlignment="0" applyProtection="0"/>
    <xf numFmtId="0" fontId="50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168" fontId="9" fillId="0" borderId="0" applyFont="0" applyFill="0" applyBorder="0" applyAlignment="0" applyProtection="0"/>
    <xf numFmtId="0" fontId="3" fillId="0" borderId="0"/>
    <xf numFmtId="168" fontId="9" fillId="0" borderId="0" applyFont="0" applyFill="0" applyBorder="0" applyAlignment="0" applyProtection="0"/>
    <xf numFmtId="0" fontId="101" fillId="0" borderId="0"/>
    <xf numFmtId="0" fontId="69" fillId="48" borderId="0" applyNumberFormat="0" applyBorder="0" applyAlignment="0" applyProtection="0"/>
    <xf numFmtId="0" fontId="69" fillId="38" borderId="0" applyNumberFormat="0" applyBorder="0" applyAlignment="0" applyProtection="0"/>
    <xf numFmtId="0" fontId="69" fillId="37" borderId="0" applyNumberFormat="0" applyBorder="0" applyAlignment="0" applyProtection="0"/>
    <xf numFmtId="0" fontId="69" fillId="48" borderId="0" applyNumberFormat="0" applyBorder="0" applyAlignment="0" applyProtection="0"/>
    <xf numFmtId="0" fontId="69" fillId="58" borderId="0" applyNumberFormat="0" applyBorder="0" applyAlignment="0" applyProtection="0"/>
    <xf numFmtId="0" fontId="69" fillId="2" borderId="0" applyNumberFormat="0" applyBorder="0" applyAlignment="0" applyProtection="0"/>
    <xf numFmtId="0" fontId="69" fillId="58" borderId="0" applyNumberFormat="0" applyBorder="0" applyAlignment="0" applyProtection="0"/>
    <xf numFmtId="0" fontId="69" fillId="38" borderId="0" applyNumberFormat="0" applyBorder="0" applyAlignment="0" applyProtection="0"/>
    <xf numFmtId="0" fontId="70" fillId="45" borderId="0" applyNumberFormat="0" applyBorder="0" applyAlignment="0" applyProtection="0"/>
    <xf numFmtId="0" fontId="70" fillId="2" borderId="0" applyNumberFormat="0" applyBorder="0" applyAlignment="0" applyProtection="0"/>
    <xf numFmtId="0" fontId="70" fillId="50" borderId="0" applyNumberFormat="0" applyBorder="0" applyAlignment="0" applyProtection="0"/>
    <xf numFmtId="168" fontId="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45" borderId="0" applyNumberFormat="0" applyBorder="0" applyAlignment="0" applyProtection="0"/>
    <xf numFmtId="0" fontId="70" fillId="44" borderId="0" applyNumberFormat="0" applyBorder="0" applyAlignment="0" applyProtection="0"/>
    <xf numFmtId="0" fontId="72" fillId="48" borderId="14" applyNumberFormat="0" applyAlignment="0" applyProtection="0"/>
    <xf numFmtId="0" fontId="102" fillId="0" borderId="30" applyNumberFormat="0" applyFill="0" applyAlignment="0" applyProtection="0"/>
    <xf numFmtId="0" fontId="103" fillId="0" borderId="24" applyNumberFormat="0" applyFill="0" applyAlignment="0" applyProtection="0"/>
    <xf numFmtId="0" fontId="104" fillId="0" borderId="31" applyNumberFormat="0" applyFill="0" applyAlignment="0" applyProtection="0"/>
    <xf numFmtId="0" fontId="104" fillId="0" borderId="0" applyNumberFormat="0" applyFill="0" applyBorder="0" applyAlignment="0" applyProtection="0"/>
    <xf numFmtId="0" fontId="34" fillId="37" borderId="32" applyNumberFormat="0" applyFont="0" applyAlignment="0" applyProtection="0"/>
    <xf numFmtId="0" fontId="84" fillId="48" borderId="21" applyNumberFormat="0" applyAlignment="0" applyProtection="0"/>
    <xf numFmtId="0" fontId="86" fillId="0" borderId="33" applyNumberFormat="0" applyFill="0" applyAlignment="0" applyProtection="0"/>
    <xf numFmtId="0" fontId="34" fillId="0" borderId="0"/>
    <xf numFmtId="0" fontId="1" fillId="0" borderId="0"/>
    <xf numFmtId="0" fontId="9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4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41" fontId="0" fillId="0" borderId="0" xfId="0" applyNumberFormat="1"/>
    <xf numFmtId="41" fontId="4" fillId="0" borderId="0" xfId="3" applyNumberFormat="1" applyFont="1"/>
    <xf numFmtId="168" fontId="0" fillId="0" borderId="0" xfId="0" applyNumberFormat="1"/>
    <xf numFmtId="169" fontId="0" fillId="0" borderId="0" xfId="1" applyNumberFormat="1" applyFont="1"/>
    <xf numFmtId="0" fontId="6" fillId="0" borderId="0" xfId="0" applyFont="1"/>
    <xf numFmtId="41" fontId="11" fillId="0" borderId="0" xfId="4" applyNumberFormat="1" applyFont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2" xfId="0" applyBorder="1"/>
    <xf numFmtId="41" fontId="0" fillId="0" borderId="2" xfId="0" applyNumberFormat="1" applyBorder="1"/>
    <xf numFmtId="41" fontId="4" fillId="0" borderId="2" xfId="3" applyNumberFormat="1" applyFont="1" applyBorder="1"/>
    <xf numFmtId="168" fontId="0" fillId="0" borderId="2" xfId="0" applyNumberFormat="1" applyBorder="1"/>
    <xf numFmtId="169" fontId="0" fillId="0" borderId="2" xfId="0" applyNumberFormat="1" applyBorder="1"/>
    <xf numFmtId="0" fontId="2" fillId="0" borderId="2" xfId="0" applyFont="1" applyBorder="1"/>
    <xf numFmtId="0" fontId="6" fillId="0" borderId="2" xfId="0" applyFont="1" applyBorder="1"/>
    <xf numFmtId="0" fontId="0" fillId="0" borderId="2" xfId="0" applyBorder="1" applyAlignment="1">
      <alignment wrapText="1"/>
    </xf>
    <xf numFmtId="41" fontId="0" fillId="0" borderId="2" xfId="0" applyNumberFormat="1" applyBorder="1" applyAlignment="1">
      <alignment vertical="top"/>
    </xf>
    <xf numFmtId="170" fontId="0" fillId="0" borderId="2" xfId="2" applyNumberFormat="1" applyFont="1" applyBorder="1"/>
    <xf numFmtId="41" fontId="11" fillId="0" borderId="0" xfId="4" applyNumberFormat="1" applyFont="1" applyAlignment="1">
      <alignment horizontal="left" vertical="top"/>
    </xf>
    <xf numFmtId="41" fontId="11" fillId="0" borderId="0" xfId="4" applyNumberFormat="1" applyFont="1" applyAlignment="1">
      <alignment horizontal="right" vertical="top"/>
    </xf>
    <xf numFmtId="41" fontId="5" fillId="0" borderId="2" xfId="3" applyNumberFormat="1" applyFont="1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41" fontId="4" fillId="0" borderId="2" xfId="3" applyNumberFormat="1" applyFont="1" applyBorder="1" applyAlignment="1">
      <alignment vertical="top"/>
    </xf>
    <xf numFmtId="9" fontId="0" fillId="0" borderId="2" xfId="2" applyFont="1" applyBorder="1"/>
    <xf numFmtId="169" fontId="0" fillId="0" borderId="2" xfId="1" applyNumberFormat="1" applyFont="1" applyBorder="1"/>
    <xf numFmtId="171" fontId="0" fillId="0" borderId="2" xfId="0" applyNumberFormat="1" applyBorder="1"/>
    <xf numFmtId="168" fontId="2" fillId="0" borderId="2" xfId="0" applyNumberFormat="1" applyFont="1" applyBorder="1"/>
    <xf numFmtId="171" fontId="2" fillId="0" borderId="2" xfId="0" applyNumberFormat="1" applyFont="1" applyBorder="1"/>
    <xf numFmtId="173" fontId="0" fillId="0" borderId="2" xfId="0" applyNumberFormat="1" applyBorder="1"/>
    <xf numFmtId="0" fontId="28" fillId="0" borderId="0" xfId="0" applyFont="1"/>
    <xf numFmtId="41" fontId="28" fillId="0" borderId="2" xfId="0" applyNumberFormat="1" applyFont="1" applyBorder="1"/>
    <xf numFmtId="41" fontId="89" fillId="0" borderId="2" xfId="3" applyNumberFormat="1" applyFont="1" applyBorder="1"/>
    <xf numFmtId="9" fontId="0" fillId="0" borderId="0" xfId="0" applyNumberFormat="1"/>
    <xf numFmtId="1" fontId="0" fillId="0" borderId="0" xfId="0" applyNumberFormat="1"/>
    <xf numFmtId="166" fontId="0" fillId="0" borderId="2" xfId="0" applyNumberFormat="1" applyBorder="1"/>
    <xf numFmtId="0" fontId="88" fillId="0" borderId="2" xfId="0" applyFont="1" applyBorder="1"/>
    <xf numFmtId="164" fontId="0" fillId="0" borderId="0" xfId="0" applyNumberFormat="1"/>
    <xf numFmtId="0" fontId="90" fillId="0" borderId="2" xfId="0" applyFont="1" applyBorder="1"/>
    <xf numFmtId="0" fontId="91" fillId="0" borderId="2" xfId="0" applyFont="1" applyBorder="1"/>
    <xf numFmtId="0" fontId="4" fillId="0" borderId="2" xfId="0" applyFont="1" applyBorder="1"/>
    <xf numFmtId="0" fontId="92" fillId="0" borderId="2" xfId="0" applyFont="1" applyBorder="1"/>
    <xf numFmtId="0" fontId="0" fillId="0" borderId="0" xfId="0" applyAlignment="1">
      <alignment horizontal="center" wrapText="1"/>
    </xf>
    <xf numFmtId="169" fontId="0" fillId="0" borderId="2" xfId="1" applyNumberFormat="1" applyFont="1" applyBorder="1" applyAlignment="1">
      <alignment horizontal="center" wrapText="1"/>
    </xf>
    <xf numFmtId="169" fontId="4" fillId="0" borderId="2" xfId="1" applyNumberFormat="1" applyFont="1" applyFill="1" applyBorder="1"/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vertical="top"/>
    </xf>
    <xf numFmtId="0" fontId="4" fillId="0" borderId="0" xfId="0" applyFont="1"/>
    <xf numFmtId="169" fontId="4" fillId="0" borderId="2" xfId="3" applyNumberFormat="1" applyFont="1" applyBorder="1" applyAlignment="1">
      <alignment vertical="top"/>
    </xf>
    <xf numFmtId="172" fontId="4" fillId="0" borderId="2" xfId="3" applyNumberFormat="1" applyFont="1" applyBorder="1" applyAlignment="1">
      <alignment vertical="top"/>
    </xf>
    <xf numFmtId="0" fontId="4" fillId="0" borderId="2" xfId="0" applyFont="1" applyBorder="1" applyAlignment="1">
      <alignment horizontal="center" wrapText="1"/>
    </xf>
    <xf numFmtId="41" fontId="88" fillId="0" borderId="2" xfId="0" applyNumberFormat="1" applyFont="1" applyBorder="1"/>
    <xf numFmtId="168" fontId="88" fillId="0" borderId="2" xfId="0" applyNumberFormat="1" applyFont="1" applyBorder="1"/>
    <xf numFmtId="41" fontId="4" fillId="0" borderId="2" xfId="0" applyNumberFormat="1" applyFont="1" applyBorder="1"/>
    <xf numFmtId="169" fontId="4" fillId="0" borderId="2" xfId="1" applyNumberFormat="1" applyFont="1" applyBorder="1"/>
    <xf numFmtId="0" fontId="90" fillId="0" borderId="2" xfId="0" applyFont="1" applyBorder="1" applyAlignment="1">
      <alignment vertical="top" wrapText="1"/>
    </xf>
    <xf numFmtId="0" fontId="90" fillId="0" borderId="2" xfId="0" applyFont="1" applyBorder="1" applyAlignment="1">
      <alignment wrapText="1"/>
    </xf>
    <xf numFmtId="0" fontId="91" fillId="0" borderId="2" xfId="0" applyFont="1" applyBorder="1" applyAlignment="1">
      <alignment wrapText="1"/>
    </xf>
    <xf numFmtId="0" fontId="91" fillId="0" borderId="0" xfId="0" applyFont="1"/>
    <xf numFmtId="0" fontId="4" fillId="0" borderId="2" xfId="0" applyFont="1" applyBorder="1" applyAlignment="1">
      <alignment vertical="top"/>
    </xf>
    <xf numFmtId="0" fontId="94" fillId="0" borderId="2" xfId="0" applyFont="1" applyBorder="1"/>
    <xf numFmtId="0" fontId="90" fillId="0" borderId="2" xfId="0" applyFont="1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8" fontId="0" fillId="0" borderId="1" xfId="0" applyNumberFormat="1" applyBorder="1"/>
    <xf numFmtId="0" fontId="0" fillId="0" borderId="1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168" fontId="0" fillId="0" borderId="3" xfId="0" applyNumberFormat="1" applyBorder="1"/>
    <xf numFmtId="0" fontId="0" fillId="0" borderId="3" xfId="0" applyBorder="1"/>
    <xf numFmtId="168" fontId="0" fillId="0" borderId="3" xfId="0" applyNumberFormat="1" applyBorder="1" applyAlignment="1">
      <alignment horizontal="left" vertical="top"/>
    </xf>
    <xf numFmtId="0" fontId="4" fillId="0" borderId="2" xfId="0" applyFont="1" applyBorder="1" applyAlignment="1">
      <alignment wrapText="1"/>
    </xf>
    <xf numFmtId="1" fontId="4" fillId="0" borderId="0" xfId="0" quotePrefix="1" applyNumberFormat="1" applyFont="1"/>
    <xf numFmtId="0" fontId="4" fillId="0" borderId="2" xfId="16" applyFont="1" applyFill="1" applyBorder="1" applyAlignment="1">
      <alignment vertical="top" wrapText="1"/>
    </xf>
    <xf numFmtId="0" fontId="4" fillId="0" borderId="2" xfId="16" applyFont="1" applyFill="1" applyBorder="1" applyAlignment="1">
      <alignment vertical="top"/>
    </xf>
    <xf numFmtId="41" fontId="4" fillId="0" borderId="2" xfId="16" applyNumberFormat="1" applyFont="1" applyFill="1" applyBorder="1" applyAlignment="1">
      <alignment vertical="top"/>
    </xf>
    <xf numFmtId="41" fontId="97" fillId="0" borderId="2" xfId="0" applyNumberFormat="1" applyFont="1" applyBorder="1"/>
    <xf numFmtId="41" fontId="97" fillId="0" borderId="2" xfId="3" applyNumberFormat="1" applyFont="1" applyBorder="1"/>
    <xf numFmtId="0" fontId="98" fillId="0" borderId="0" xfId="0" applyFont="1"/>
    <xf numFmtId="3" fontId="97" fillId="0" borderId="0" xfId="0" applyNumberFormat="1" applyFont="1"/>
    <xf numFmtId="0" fontId="97" fillId="0" borderId="0" xfId="0" applyFont="1"/>
    <xf numFmtId="0" fontId="98" fillId="0" borderId="0" xfId="0" applyFont="1" applyAlignment="1">
      <alignment wrapText="1"/>
    </xf>
    <xf numFmtId="0" fontId="0" fillId="0" borderId="0" xfId="0" applyAlignment="1">
      <alignment wrapText="1"/>
    </xf>
    <xf numFmtId="0" fontId="99" fillId="0" borderId="0" xfId="0" applyFont="1"/>
    <xf numFmtId="0" fontId="4" fillId="0" borderId="2" xfId="0" applyFont="1" applyBorder="1" applyAlignment="1">
      <alignment vertical="top" wrapText="1"/>
    </xf>
    <xf numFmtId="0" fontId="0" fillId="0" borderId="28" xfId="0" applyBorder="1"/>
    <xf numFmtId="0" fontId="0" fillId="0" borderId="0" xfId="0" applyAlignment="1">
      <alignment horizontal="left" indent="1"/>
    </xf>
    <xf numFmtId="168" fontId="4" fillId="0" borderId="2" xfId="0" applyNumberFormat="1" applyFont="1" applyBorder="1"/>
    <xf numFmtId="0" fontId="4" fillId="0" borderId="1" xfId="0" applyFont="1" applyBorder="1"/>
    <xf numFmtId="168" fontId="4" fillId="0" borderId="1" xfId="0" applyNumberFormat="1" applyFont="1" applyBorder="1"/>
    <xf numFmtId="3" fontId="4" fillId="0" borderId="2" xfId="0" applyNumberFormat="1" applyFont="1" applyBorder="1"/>
    <xf numFmtId="168" fontId="4" fillId="0" borderId="2" xfId="0" applyNumberFormat="1" applyFont="1" applyBorder="1" applyAlignment="1">
      <alignment vertical="top"/>
    </xf>
    <xf numFmtId="41" fontId="4" fillId="0" borderId="2" xfId="0" applyNumberFormat="1" applyFont="1" applyBorder="1" applyAlignment="1">
      <alignment vertical="top"/>
    </xf>
    <xf numFmtId="169" fontId="4" fillId="0" borderId="2" xfId="0" applyNumberFormat="1" applyFont="1" applyBorder="1"/>
    <xf numFmtId="2" fontId="4" fillId="0" borderId="2" xfId="0" applyNumberFormat="1" applyFont="1" applyBorder="1"/>
    <xf numFmtId="41" fontId="4" fillId="0" borderId="2" xfId="0" applyNumberFormat="1" applyFont="1" applyBorder="1" applyAlignment="1">
      <alignment horizontal="center" wrapText="1"/>
    </xf>
    <xf numFmtId="0" fontId="89" fillId="0" borderId="2" xfId="0" applyFont="1" applyBorder="1"/>
    <xf numFmtId="174" fontId="4" fillId="0" borderId="2" xfId="0" applyNumberFormat="1" applyFont="1" applyBorder="1"/>
    <xf numFmtId="169" fontId="4" fillId="0" borderId="2" xfId="1" applyNumberFormat="1" applyFont="1" applyFill="1" applyBorder="1" applyAlignment="1">
      <alignment wrapText="1"/>
    </xf>
    <xf numFmtId="168" fontId="4" fillId="0" borderId="2" xfId="1" applyFont="1" applyFill="1" applyBorder="1" applyAlignment="1">
      <alignment wrapText="1"/>
    </xf>
    <xf numFmtId="172" fontId="4" fillId="0" borderId="2" xfId="0" applyNumberFormat="1" applyFont="1" applyBorder="1"/>
    <xf numFmtId="41" fontId="10" fillId="0" borderId="2" xfId="4" applyNumberFormat="1" applyFont="1" applyBorder="1" applyAlignment="1">
      <alignment vertical="top"/>
    </xf>
    <xf numFmtId="0" fontId="9" fillId="0" borderId="2" xfId="4" applyBorder="1" applyAlignment="1">
      <alignment vertical="top"/>
    </xf>
    <xf numFmtId="41" fontId="11" fillId="0" borderId="2" xfId="4" applyNumberFormat="1" applyFont="1" applyBorder="1" applyAlignment="1">
      <alignment horizontal="left" vertical="top"/>
    </xf>
    <xf numFmtId="41" fontId="12" fillId="0" borderId="2" xfId="4" applyNumberFormat="1" applyFont="1" applyBorder="1" applyAlignment="1">
      <alignment horizontal="left" vertical="top"/>
    </xf>
    <xf numFmtId="41" fontId="12" fillId="2" borderId="2" xfId="5" applyNumberFormat="1" applyFont="1" applyBorder="1" applyAlignment="1">
      <alignment horizontal="left" vertical="top"/>
    </xf>
    <xf numFmtId="41" fontId="15" fillId="0" borderId="2" xfId="8" applyNumberFormat="1" applyFill="1" applyBorder="1" applyAlignment="1">
      <alignment horizontal="left" vertical="top"/>
    </xf>
    <xf numFmtId="41" fontId="11" fillId="0" borderId="2" xfId="4" applyNumberFormat="1" applyFont="1" applyBorder="1" applyAlignment="1">
      <alignment horizontal="right" vertical="top"/>
    </xf>
    <xf numFmtId="41" fontId="15" fillId="0" borderId="2" xfId="8" applyNumberFormat="1" applyFill="1" applyBorder="1" applyAlignment="1">
      <alignment horizontal="left" vertical="top" wrapText="1"/>
    </xf>
    <xf numFmtId="172" fontId="11" fillId="0" borderId="2" xfId="4" applyNumberFormat="1" applyFont="1" applyBorder="1" applyAlignment="1">
      <alignment horizontal="right" vertical="top"/>
    </xf>
    <xf numFmtId="0" fontId="9" fillId="0" borderId="1" xfId="4" applyBorder="1" applyAlignment="1">
      <alignment vertical="top"/>
    </xf>
    <xf numFmtId="41" fontId="12" fillId="0" borderId="1" xfId="4" applyNumberFormat="1" applyFont="1" applyBorder="1" applyAlignment="1">
      <alignment horizontal="right" vertical="top" wrapText="1"/>
    </xf>
    <xf numFmtId="41" fontId="95" fillId="0" borderId="0" xfId="5" quotePrefix="1" applyNumberFormat="1" applyFont="1" applyFill="1" applyBorder="1" applyAlignment="1">
      <alignment horizontal="right" vertical="top"/>
    </xf>
    <xf numFmtId="169" fontId="91" fillId="0" borderId="2" xfId="1" applyNumberFormat="1" applyFont="1" applyFill="1" applyBorder="1"/>
    <xf numFmtId="173" fontId="4" fillId="0" borderId="2" xfId="3" applyNumberFormat="1" applyFont="1" applyBorder="1"/>
    <xf numFmtId="166" fontId="4" fillId="0" borderId="2" xfId="0" applyNumberFormat="1" applyFont="1" applyBorder="1"/>
    <xf numFmtId="169" fontId="0" fillId="0" borderId="2" xfId="1" applyNumberFormat="1" applyFont="1" applyFill="1" applyBorder="1"/>
    <xf numFmtId="41" fontId="4" fillId="0" borderId="29" xfId="0" applyNumberFormat="1" applyFont="1" applyBorder="1"/>
    <xf numFmtId="170" fontId="4" fillId="0" borderId="2" xfId="2" applyNumberFormat="1" applyFont="1" applyFill="1" applyBorder="1"/>
    <xf numFmtId="170" fontId="0" fillId="0" borderId="2" xfId="2" applyNumberFormat="1" applyFont="1" applyFill="1" applyBorder="1"/>
    <xf numFmtId="3" fontId="4" fillId="0" borderId="0" xfId="0" applyNumberFormat="1" applyFont="1"/>
    <xf numFmtId="41" fontId="12" fillId="0" borderId="2" xfId="4" applyNumberFormat="1" applyFont="1" applyBorder="1" applyAlignment="1">
      <alignment horizontal="right" vertical="top" wrapText="1"/>
    </xf>
    <xf numFmtId="41" fontId="95" fillId="2" borderId="2" xfId="5" quotePrefix="1" applyNumberFormat="1" applyFont="1" applyBorder="1" applyAlignment="1">
      <alignment horizontal="right" vertical="top"/>
    </xf>
    <xf numFmtId="41" fontId="96" fillId="2" borderId="2" xfId="5" quotePrefix="1" applyNumberFormat="1" applyFont="1" applyBorder="1" applyAlignment="1">
      <alignment horizontal="right" vertical="top"/>
    </xf>
    <xf numFmtId="41" fontId="96" fillId="59" borderId="2" xfId="5" quotePrefix="1" applyNumberFormat="1" applyFont="1" applyFill="1" applyBorder="1" applyAlignment="1">
      <alignment horizontal="right" vertical="top"/>
    </xf>
    <xf numFmtId="41" fontId="28" fillId="0" borderId="0" xfId="0" applyNumberFormat="1" applyFont="1"/>
    <xf numFmtId="0" fontId="92" fillId="0" borderId="0" xfId="0" applyFont="1"/>
    <xf numFmtId="0" fontId="92" fillId="0" borderId="2" xfId="0" applyFont="1" applyBorder="1" applyAlignment="1">
      <alignment vertical="top"/>
    </xf>
    <xf numFmtId="0" fontId="106" fillId="0" borderId="2" xfId="0" applyFont="1" applyBorder="1" applyAlignment="1">
      <alignment vertical="top"/>
    </xf>
    <xf numFmtId="164" fontId="4" fillId="0" borderId="0" xfId="0" applyNumberFormat="1" applyFont="1"/>
    <xf numFmtId="172" fontId="4" fillId="0" borderId="2" xfId="0" applyNumberFormat="1" applyFont="1" applyBorder="1" applyAlignment="1">
      <alignment vertical="top"/>
    </xf>
    <xf numFmtId="168" fontId="4" fillId="0" borderId="0" xfId="0" applyNumberFormat="1" applyFont="1"/>
    <xf numFmtId="169" fontId="4" fillId="0" borderId="0" xfId="1" applyNumberFormat="1" applyFont="1"/>
    <xf numFmtId="41" fontId="12" fillId="0" borderId="0" xfId="4" applyNumberFormat="1" applyFont="1" applyAlignment="1">
      <alignment horizontal="left" vertical="top" wrapText="1"/>
    </xf>
    <xf numFmtId="41" fontId="12" fillId="0" borderId="0" xfId="4" applyNumberFormat="1" applyFont="1" applyAlignment="1">
      <alignment horizontal="right" vertical="top" wrapText="1"/>
    </xf>
    <xf numFmtId="170" fontId="11" fillId="0" borderId="0" xfId="2" applyNumberFormat="1" applyFont="1" applyFill="1" applyBorder="1" applyAlignment="1">
      <alignment horizontal="center" vertical="top"/>
    </xf>
    <xf numFmtId="41" fontId="96" fillId="0" borderId="0" xfId="5" quotePrefix="1" applyNumberFormat="1" applyFont="1" applyFill="1" applyBorder="1" applyAlignment="1">
      <alignment horizontal="right" vertical="top"/>
    </xf>
    <xf numFmtId="41" fontId="11" fillId="3" borderId="2" xfId="4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center"/>
    </xf>
  </cellXfs>
  <cellStyles count="3456">
    <cellStyle name="20% - Accent1" xfId="26" builtinId="30" customBuiltin="1"/>
    <cellStyle name="20% - Accent1 2" xfId="49" xr:uid="{00000000-0005-0000-0000-000001000000}"/>
    <cellStyle name="20% - Accent1 2 2" xfId="167" xr:uid="{00000000-0005-0000-0000-000002000000}"/>
    <cellStyle name="20% - Accent1 2 2 2" xfId="315" xr:uid="{00000000-0005-0000-0000-000003000000}"/>
    <cellStyle name="20% - Accent1 2 2 2 2" xfId="456" xr:uid="{00000000-0005-0000-0000-000004000000}"/>
    <cellStyle name="20% - Accent1 2 2 2 2 2" xfId="854" xr:uid="{00000000-0005-0000-0000-000005000000}"/>
    <cellStyle name="20% - Accent1 2 2 2 2 2 2" xfId="1652" xr:uid="{00000000-0005-0000-0000-000006000000}"/>
    <cellStyle name="20% - Accent1 2 2 2 2 2 2 2" xfId="3248" xr:uid="{00000000-0005-0000-0000-000007000000}"/>
    <cellStyle name="20% - Accent1 2 2 2 2 2 3" xfId="2450" xr:uid="{00000000-0005-0000-0000-000008000000}"/>
    <cellStyle name="20% - Accent1 2 2 2 2 3" xfId="1253" xr:uid="{00000000-0005-0000-0000-000009000000}"/>
    <cellStyle name="20% - Accent1 2 2 2 2 3 2" xfId="2849" xr:uid="{00000000-0005-0000-0000-00000A000000}"/>
    <cellStyle name="20% - Accent1 2 2 2 2 4" xfId="2051" xr:uid="{00000000-0005-0000-0000-00000B000000}"/>
    <cellStyle name="20% - Accent1 2 2 2 3" xfId="655" xr:uid="{00000000-0005-0000-0000-00000C000000}"/>
    <cellStyle name="20% - Accent1 2 2 2 3 2" xfId="1452" xr:uid="{00000000-0005-0000-0000-00000D000000}"/>
    <cellStyle name="20% - Accent1 2 2 2 3 2 2" xfId="3048" xr:uid="{00000000-0005-0000-0000-00000E000000}"/>
    <cellStyle name="20% - Accent1 2 2 2 3 3" xfId="2250" xr:uid="{00000000-0005-0000-0000-00000F000000}"/>
    <cellStyle name="20% - Accent1 2 2 2 4" xfId="1053" xr:uid="{00000000-0005-0000-0000-000010000000}"/>
    <cellStyle name="20% - Accent1 2 2 2 4 2" xfId="2649" xr:uid="{00000000-0005-0000-0000-000011000000}"/>
    <cellStyle name="20% - Accent1 2 2 2 5" xfId="1851" xr:uid="{00000000-0005-0000-0000-000012000000}"/>
    <cellStyle name="20% - Accent1 2 2 3" xfId="316" xr:uid="{00000000-0005-0000-0000-000013000000}"/>
    <cellStyle name="20% - Accent1 2 2 3 2" xfId="457" xr:uid="{00000000-0005-0000-0000-000014000000}"/>
    <cellStyle name="20% - Accent1 2 2 3 2 2" xfId="855" xr:uid="{00000000-0005-0000-0000-000015000000}"/>
    <cellStyle name="20% - Accent1 2 2 3 2 2 2" xfId="1653" xr:uid="{00000000-0005-0000-0000-000016000000}"/>
    <cellStyle name="20% - Accent1 2 2 3 2 2 2 2" xfId="3249" xr:uid="{00000000-0005-0000-0000-000017000000}"/>
    <cellStyle name="20% - Accent1 2 2 3 2 2 3" xfId="2451" xr:uid="{00000000-0005-0000-0000-000018000000}"/>
    <cellStyle name="20% - Accent1 2 2 3 2 3" xfId="1254" xr:uid="{00000000-0005-0000-0000-000019000000}"/>
    <cellStyle name="20% - Accent1 2 2 3 2 3 2" xfId="2850" xr:uid="{00000000-0005-0000-0000-00001A000000}"/>
    <cellStyle name="20% - Accent1 2 2 3 2 4" xfId="2052" xr:uid="{00000000-0005-0000-0000-00001B000000}"/>
    <cellStyle name="20% - Accent1 2 2 3 3" xfId="656" xr:uid="{00000000-0005-0000-0000-00001C000000}"/>
    <cellStyle name="20% - Accent1 2 2 3 3 2" xfId="1453" xr:uid="{00000000-0005-0000-0000-00001D000000}"/>
    <cellStyle name="20% - Accent1 2 2 3 3 2 2" xfId="3049" xr:uid="{00000000-0005-0000-0000-00001E000000}"/>
    <cellStyle name="20% - Accent1 2 2 3 3 3" xfId="2251" xr:uid="{00000000-0005-0000-0000-00001F000000}"/>
    <cellStyle name="20% - Accent1 2 2 3 4" xfId="1054" xr:uid="{00000000-0005-0000-0000-000020000000}"/>
    <cellStyle name="20% - Accent1 2 2 3 4 2" xfId="2650" xr:uid="{00000000-0005-0000-0000-000021000000}"/>
    <cellStyle name="20% - Accent1 2 2 3 5" xfId="1852" xr:uid="{00000000-0005-0000-0000-000022000000}"/>
    <cellStyle name="20% - Accent1 2 2 4" xfId="455" xr:uid="{00000000-0005-0000-0000-000023000000}"/>
    <cellStyle name="20% - Accent1 2 2 4 2" xfId="853" xr:uid="{00000000-0005-0000-0000-000024000000}"/>
    <cellStyle name="20% - Accent1 2 2 4 2 2" xfId="1651" xr:uid="{00000000-0005-0000-0000-000025000000}"/>
    <cellStyle name="20% - Accent1 2 2 4 2 2 2" xfId="3247" xr:uid="{00000000-0005-0000-0000-000026000000}"/>
    <cellStyle name="20% - Accent1 2 2 4 2 3" xfId="2449" xr:uid="{00000000-0005-0000-0000-000027000000}"/>
    <cellStyle name="20% - Accent1 2 2 4 3" xfId="1252" xr:uid="{00000000-0005-0000-0000-000028000000}"/>
    <cellStyle name="20% - Accent1 2 2 4 3 2" xfId="2848" xr:uid="{00000000-0005-0000-0000-000029000000}"/>
    <cellStyle name="20% - Accent1 2 2 4 4" xfId="2050" xr:uid="{00000000-0005-0000-0000-00002A000000}"/>
    <cellStyle name="20% - Accent1 2 2 5" xfId="654" xr:uid="{00000000-0005-0000-0000-00002B000000}"/>
    <cellStyle name="20% - Accent1 2 2 5 2" xfId="1451" xr:uid="{00000000-0005-0000-0000-00002C000000}"/>
    <cellStyle name="20% - Accent1 2 2 5 2 2" xfId="3047" xr:uid="{00000000-0005-0000-0000-00002D000000}"/>
    <cellStyle name="20% - Accent1 2 2 5 3" xfId="2249" xr:uid="{00000000-0005-0000-0000-00002E000000}"/>
    <cellStyle name="20% - Accent1 2 2 6" xfId="1052" xr:uid="{00000000-0005-0000-0000-00002F000000}"/>
    <cellStyle name="20% - Accent1 2 2 6 2" xfId="2648" xr:uid="{00000000-0005-0000-0000-000030000000}"/>
    <cellStyle name="20% - Accent1 2 2 7" xfId="1850" xr:uid="{00000000-0005-0000-0000-000031000000}"/>
    <cellStyle name="20% - Accent1 2 2 8" xfId="314" xr:uid="{00000000-0005-0000-0000-000032000000}"/>
    <cellStyle name="20% - Accent1 2 3" xfId="233" xr:uid="{00000000-0005-0000-0000-000033000000}"/>
    <cellStyle name="20% - Accent1 2 3 2" xfId="458" xr:uid="{00000000-0005-0000-0000-000034000000}"/>
    <cellStyle name="20% - Accent1 2 3 2 2" xfId="856" xr:uid="{00000000-0005-0000-0000-000035000000}"/>
    <cellStyle name="20% - Accent1 2 3 2 2 2" xfId="1654" xr:uid="{00000000-0005-0000-0000-000036000000}"/>
    <cellStyle name="20% - Accent1 2 3 2 2 2 2" xfId="3250" xr:uid="{00000000-0005-0000-0000-000037000000}"/>
    <cellStyle name="20% - Accent1 2 3 2 2 3" xfId="2452" xr:uid="{00000000-0005-0000-0000-000038000000}"/>
    <cellStyle name="20% - Accent1 2 3 2 3" xfId="1255" xr:uid="{00000000-0005-0000-0000-000039000000}"/>
    <cellStyle name="20% - Accent1 2 3 2 3 2" xfId="2851" xr:uid="{00000000-0005-0000-0000-00003A000000}"/>
    <cellStyle name="20% - Accent1 2 3 2 4" xfId="2053" xr:uid="{00000000-0005-0000-0000-00003B000000}"/>
    <cellStyle name="20% - Accent1 2 3 3" xfId="657" xr:uid="{00000000-0005-0000-0000-00003C000000}"/>
    <cellStyle name="20% - Accent1 2 3 3 2" xfId="1454" xr:uid="{00000000-0005-0000-0000-00003D000000}"/>
    <cellStyle name="20% - Accent1 2 3 3 2 2" xfId="3050" xr:uid="{00000000-0005-0000-0000-00003E000000}"/>
    <cellStyle name="20% - Accent1 2 3 3 3" xfId="2252" xr:uid="{00000000-0005-0000-0000-00003F000000}"/>
    <cellStyle name="20% - Accent1 2 3 4" xfId="1055" xr:uid="{00000000-0005-0000-0000-000040000000}"/>
    <cellStyle name="20% - Accent1 2 3 4 2" xfId="2651" xr:uid="{00000000-0005-0000-0000-000041000000}"/>
    <cellStyle name="20% - Accent1 2 3 5" xfId="1853" xr:uid="{00000000-0005-0000-0000-000042000000}"/>
    <cellStyle name="20% - Accent1 2 3 6" xfId="317" xr:uid="{00000000-0005-0000-0000-000043000000}"/>
    <cellStyle name="20% - Accent1 2 4" xfId="120" xr:uid="{00000000-0005-0000-0000-000044000000}"/>
    <cellStyle name="20% - Accent1 2 4 2" xfId="459" xr:uid="{00000000-0005-0000-0000-000045000000}"/>
    <cellStyle name="20% - Accent1 2 4 2 2" xfId="857" xr:uid="{00000000-0005-0000-0000-000046000000}"/>
    <cellStyle name="20% - Accent1 2 4 2 2 2" xfId="1655" xr:uid="{00000000-0005-0000-0000-000047000000}"/>
    <cellStyle name="20% - Accent1 2 4 2 2 2 2" xfId="3251" xr:uid="{00000000-0005-0000-0000-000048000000}"/>
    <cellStyle name="20% - Accent1 2 4 2 2 3" xfId="2453" xr:uid="{00000000-0005-0000-0000-000049000000}"/>
    <cellStyle name="20% - Accent1 2 4 2 3" xfId="1256" xr:uid="{00000000-0005-0000-0000-00004A000000}"/>
    <cellStyle name="20% - Accent1 2 4 2 3 2" xfId="2852" xr:uid="{00000000-0005-0000-0000-00004B000000}"/>
    <cellStyle name="20% - Accent1 2 4 2 4" xfId="2054" xr:uid="{00000000-0005-0000-0000-00004C000000}"/>
    <cellStyle name="20% - Accent1 2 4 3" xfId="658" xr:uid="{00000000-0005-0000-0000-00004D000000}"/>
    <cellStyle name="20% - Accent1 2 4 3 2" xfId="1455" xr:uid="{00000000-0005-0000-0000-00004E000000}"/>
    <cellStyle name="20% - Accent1 2 4 3 2 2" xfId="3051" xr:uid="{00000000-0005-0000-0000-00004F000000}"/>
    <cellStyle name="20% - Accent1 2 4 3 3" xfId="2253" xr:uid="{00000000-0005-0000-0000-000050000000}"/>
    <cellStyle name="20% - Accent1 2 4 4" xfId="1056" xr:uid="{00000000-0005-0000-0000-000051000000}"/>
    <cellStyle name="20% - Accent1 2 4 4 2" xfId="2652" xr:uid="{00000000-0005-0000-0000-000052000000}"/>
    <cellStyle name="20% - Accent1 2 4 5" xfId="1854" xr:uid="{00000000-0005-0000-0000-000053000000}"/>
    <cellStyle name="20% - Accent1 2 5" xfId="454" xr:uid="{00000000-0005-0000-0000-000054000000}"/>
    <cellStyle name="20% - Accent1 2 5 2" xfId="852" xr:uid="{00000000-0005-0000-0000-000055000000}"/>
    <cellStyle name="20% - Accent1 2 5 2 2" xfId="1650" xr:uid="{00000000-0005-0000-0000-000056000000}"/>
    <cellStyle name="20% - Accent1 2 5 2 2 2" xfId="3246" xr:uid="{00000000-0005-0000-0000-000057000000}"/>
    <cellStyle name="20% - Accent1 2 5 2 3" xfId="2448" xr:uid="{00000000-0005-0000-0000-000058000000}"/>
    <cellStyle name="20% - Accent1 2 5 3" xfId="1251" xr:uid="{00000000-0005-0000-0000-000059000000}"/>
    <cellStyle name="20% - Accent1 2 5 3 2" xfId="2847" xr:uid="{00000000-0005-0000-0000-00005A000000}"/>
    <cellStyle name="20% - Accent1 2 5 4" xfId="2049" xr:uid="{00000000-0005-0000-0000-00005B000000}"/>
    <cellStyle name="20% - Accent1 2 6" xfId="653" xr:uid="{00000000-0005-0000-0000-00005C000000}"/>
    <cellStyle name="20% - Accent1 2 6 2" xfId="1450" xr:uid="{00000000-0005-0000-0000-00005D000000}"/>
    <cellStyle name="20% - Accent1 2 6 2 2" xfId="3046" xr:uid="{00000000-0005-0000-0000-00005E000000}"/>
    <cellStyle name="20% - Accent1 2 6 3" xfId="2248" xr:uid="{00000000-0005-0000-0000-00005F000000}"/>
    <cellStyle name="20% - Accent1 2 7" xfId="1051" xr:uid="{00000000-0005-0000-0000-000060000000}"/>
    <cellStyle name="20% - Accent1 2 7 2" xfId="2647" xr:uid="{00000000-0005-0000-0000-000061000000}"/>
    <cellStyle name="20% - Accent1 2 8" xfId="1849" xr:uid="{00000000-0005-0000-0000-000062000000}"/>
    <cellStyle name="20% - Accent1 3" xfId="135" xr:uid="{00000000-0005-0000-0000-000063000000}"/>
    <cellStyle name="20% - Accent1 3 2" xfId="318" xr:uid="{00000000-0005-0000-0000-000064000000}"/>
    <cellStyle name="20% - Accent1 3 2 2" xfId="461" xr:uid="{00000000-0005-0000-0000-000065000000}"/>
    <cellStyle name="20% - Accent1 3 2 2 2" xfId="859" xr:uid="{00000000-0005-0000-0000-000066000000}"/>
    <cellStyle name="20% - Accent1 3 2 2 2 2" xfId="1657" xr:uid="{00000000-0005-0000-0000-000067000000}"/>
    <cellStyle name="20% - Accent1 3 2 2 2 2 2" xfId="3253" xr:uid="{00000000-0005-0000-0000-000068000000}"/>
    <cellStyle name="20% - Accent1 3 2 2 2 3" xfId="2455" xr:uid="{00000000-0005-0000-0000-000069000000}"/>
    <cellStyle name="20% - Accent1 3 2 2 3" xfId="1258" xr:uid="{00000000-0005-0000-0000-00006A000000}"/>
    <cellStyle name="20% - Accent1 3 2 2 3 2" xfId="2854" xr:uid="{00000000-0005-0000-0000-00006B000000}"/>
    <cellStyle name="20% - Accent1 3 2 2 4" xfId="2056" xr:uid="{00000000-0005-0000-0000-00006C000000}"/>
    <cellStyle name="20% - Accent1 3 2 3" xfId="660" xr:uid="{00000000-0005-0000-0000-00006D000000}"/>
    <cellStyle name="20% - Accent1 3 2 3 2" xfId="1457" xr:uid="{00000000-0005-0000-0000-00006E000000}"/>
    <cellStyle name="20% - Accent1 3 2 3 2 2" xfId="3053" xr:uid="{00000000-0005-0000-0000-00006F000000}"/>
    <cellStyle name="20% - Accent1 3 2 3 3" xfId="2255" xr:uid="{00000000-0005-0000-0000-000070000000}"/>
    <cellStyle name="20% - Accent1 3 2 4" xfId="1058" xr:uid="{00000000-0005-0000-0000-000071000000}"/>
    <cellStyle name="20% - Accent1 3 2 4 2" xfId="2654" xr:uid="{00000000-0005-0000-0000-000072000000}"/>
    <cellStyle name="20% - Accent1 3 2 5" xfId="1856" xr:uid="{00000000-0005-0000-0000-000073000000}"/>
    <cellStyle name="20% - Accent1 3 3" xfId="319" xr:uid="{00000000-0005-0000-0000-000074000000}"/>
    <cellStyle name="20% - Accent1 3 3 2" xfId="462" xr:uid="{00000000-0005-0000-0000-000075000000}"/>
    <cellStyle name="20% - Accent1 3 3 2 2" xfId="860" xr:uid="{00000000-0005-0000-0000-000076000000}"/>
    <cellStyle name="20% - Accent1 3 3 2 2 2" xfId="1658" xr:uid="{00000000-0005-0000-0000-000077000000}"/>
    <cellStyle name="20% - Accent1 3 3 2 2 2 2" xfId="3254" xr:uid="{00000000-0005-0000-0000-000078000000}"/>
    <cellStyle name="20% - Accent1 3 3 2 2 3" xfId="2456" xr:uid="{00000000-0005-0000-0000-000079000000}"/>
    <cellStyle name="20% - Accent1 3 3 2 3" xfId="1259" xr:uid="{00000000-0005-0000-0000-00007A000000}"/>
    <cellStyle name="20% - Accent1 3 3 2 3 2" xfId="2855" xr:uid="{00000000-0005-0000-0000-00007B000000}"/>
    <cellStyle name="20% - Accent1 3 3 2 4" xfId="2057" xr:uid="{00000000-0005-0000-0000-00007C000000}"/>
    <cellStyle name="20% - Accent1 3 3 3" xfId="661" xr:uid="{00000000-0005-0000-0000-00007D000000}"/>
    <cellStyle name="20% - Accent1 3 3 3 2" xfId="1458" xr:uid="{00000000-0005-0000-0000-00007E000000}"/>
    <cellStyle name="20% - Accent1 3 3 3 2 2" xfId="3054" xr:uid="{00000000-0005-0000-0000-00007F000000}"/>
    <cellStyle name="20% - Accent1 3 3 3 3" xfId="2256" xr:uid="{00000000-0005-0000-0000-000080000000}"/>
    <cellStyle name="20% - Accent1 3 3 4" xfId="1059" xr:uid="{00000000-0005-0000-0000-000081000000}"/>
    <cellStyle name="20% - Accent1 3 3 4 2" xfId="2655" xr:uid="{00000000-0005-0000-0000-000082000000}"/>
    <cellStyle name="20% - Accent1 3 3 5" xfId="1857" xr:uid="{00000000-0005-0000-0000-000083000000}"/>
    <cellStyle name="20% - Accent1 3 4" xfId="460" xr:uid="{00000000-0005-0000-0000-000084000000}"/>
    <cellStyle name="20% - Accent1 3 4 2" xfId="858" xr:uid="{00000000-0005-0000-0000-000085000000}"/>
    <cellStyle name="20% - Accent1 3 4 2 2" xfId="1656" xr:uid="{00000000-0005-0000-0000-000086000000}"/>
    <cellStyle name="20% - Accent1 3 4 2 2 2" xfId="3252" xr:uid="{00000000-0005-0000-0000-000087000000}"/>
    <cellStyle name="20% - Accent1 3 4 2 3" xfId="2454" xr:uid="{00000000-0005-0000-0000-000088000000}"/>
    <cellStyle name="20% - Accent1 3 4 3" xfId="1257" xr:uid="{00000000-0005-0000-0000-000089000000}"/>
    <cellStyle name="20% - Accent1 3 4 3 2" xfId="2853" xr:uid="{00000000-0005-0000-0000-00008A000000}"/>
    <cellStyle name="20% - Accent1 3 4 4" xfId="2055" xr:uid="{00000000-0005-0000-0000-00008B000000}"/>
    <cellStyle name="20% - Accent1 3 5" xfId="659" xr:uid="{00000000-0005-0000-0000-00008C000000}"/>
    <cellStyle name="20% - Accent1 3 5 2" xfId="1456" xr:uid="{00000000-0005-0000-0000-00008D000000}"/>
    <cellStyle name="20% - Accent1 3 5 2 2" xfId="3052" xr:uid="{00000000-0005-0000-0000-00008E000000}"/>
    <cellStyle name="20% - Accent1 3 5 3" xfId="2254" xr:uid="{00000000-0005-0000-0000-00008F000000}"/>
    <cellStyle name="20% - Accent1 3 6" xfId="1057" xr:uid="{00000000-0005-0000-0000-000090000000}"/>
    <cellStyle name="20% - Accent1 3 6 2" xfId="2653" xr:uid="{00000000-0005-0000-0000-000091000000}"/>
    <cellStyle name="20% - Accent1 3 7" xfId="1855" xr:uid="{00000000-0005-0000-0000-000092000000}"/>
    <cellStyle name="20% - Accent1 4" xfId="149" xr:uid="{00000000-0005-0000-0000-000093000000}"/>
    <cellStyle name="20% - Accent1 4 2" xfId="463" xr:uid="{00000000-0005-0000-0000-000094000000}"/>
    <cellStyle name="20% - Accent1 4 2 2" xfId="861" xr:uid="{00000000-0005-0000-0000-000095000000}"/>
    <cellStyle name="20% - Accent1 4 2 2 2" xfId="1659" xr:uid="{00000000-0005-0000-0000-000096000000}"/>
    <cellStyle name="20% - Accent1 4 2 2 2 2" xfId="3255" xr:uid="{00000000-0005-0000-0000-000097000000}"/>
    <cellStyle name="20% - Accent1 4 2 2 3" xfId="2457" xr:uid="{00000000-0005-0000-0000-000098000000}"/>
    <cellStyle name="20% - Accent1 4 2 3" xfId="1260" xr:uid="{00000000-0005-0000-0000-000099000000}"/>
    <cellStyle name="20% - Accent1 4 2 3 2" xfId="2856" xr:uid="{00000000-0005-0000-0000-00009A000000}"/>
    <cellStyle name="20% - Accent1 4 2 4" xfId="2058" xr:uid="{00000000-0005-0000-0000-00009B000000}"/>
    <cellStyle name="20% - Accent1 4 3" xfId="662" xr:uid="{00000000-0005-0000-0000-00009C000000}"/>
    <cellStyle name="20% - Accent1 4 3 2" xfId="1459" xr:uid="{00000000-0005-0000-0000-00009D000000}"/>
    <cellStyle name="20% - Accent1 4 3 2 2" xfId="3055" xr:uid="{00000000-0005-0000-0000-00009E000000}"/>
    <cellStyle name="20% - Accent1 4 3 3" xfId="2257" xr:uid="{00000000-0005-0000-0000-00009F000000}"/>
    <cellStyle name="20% - Accent1 4 4" xfId="1060" xr:uid="{00000000-0005-0000-0000-0000A0000000}"/>
    <cellStyle name="20% - Accent1 4 4 2" xfId="2656" xr:uid="{00000000-0005-0000-0000-0000A1000000}"/>
    <cellStyle name="20% - Accent1 4 5" xfId="1858" xr:uid="{00000000-0005-0000-0000-0000A2000000}"/>
    <cellStyle name="20% - Accent1 5" xfId="320" xr:uid="{00000000-0005-0000-0000-0000A3000000}"/>
    <cellStyle name="20% - Accent1 5 2" xfId="464" xr:uid="{00000000-0005-0000-0000-0000A4000000}"/>
    <cellStyle name="20% - Accent1 5 2 2" xfId="862" xr:uid="{00000000-0005-0000-0000-0000A5000000}"/>
    <cellStyle name="20% - Accent1 5 2 2 2" xfId="1660" xr:uid="{00000000-0005-0000-0000-0000A6000000}"/>
    <cellStyle name="20% - Accent1 5 2 2 2 2" xfId="3256" xr:uid="{00000000-0005-0000-0000-0000A7000000}"/>
    <cellStyle name="20% - Accent1 5 2 2 3" xfId="2458" xr:uid="{00000000-0005-0000-0000-0000A8000000}"/>
    <cellStyle name="20% - Accent1 5 2 3" xfId="1261" xr:uid="{00000000-0005-0000-0000-0000A9000000}"/>
    <cellStyle name="20% - Accent1 5 2 3 2" xfId="2857" xr:uid="{00000000-0005-0000-0000-0000AA000000}"/>
    <cellStyle name="20% - Accent1 5 2 4" xfId="2059" xr:uid="{00000000-0005-0000-0000-0000AB000000}"/>
    <cellStyle name="20% - Accent1 5 3" xfId="663" xr:uid="{00000000-0005-0000-0000-0000AC000000}"/>
    <cellStyle name="20% - Accent1 5 3 2" xfId="1460" xr:uid="{00000000-0005-0000-0000-0000AD000000}"/>
    <cellStyle name="20% - Accent1 5 3 2 2" xfId="3056" xr:uid="{00000000-0005-0000-0000-0000AE000000}"/>
    <cellStyle name="20% - Accent1 5 3 3" xfId="2258" xr:uid="{00000000-0005-0000-0000-0000AF000000}"/>
    <cellStyle name="20% - Accent1 5 4" xfId="1061" xr:uid="{00000000-0005-0000-0000-0000B0000000}"/>
    <cellStyle name="20% - Accent1 5 4 2" xfId="2657" xr:uid="{00000000-0005-0000-0000-0000B1000000}"/>
    <cellStyle name="20% - Accent1 5 5" xfId="1859" xr:uid="{00000000-0005-0000-0000-0000B2000000}"/>
    <cellStyle name="20% - Accent1 6" xfId="288" xr:uid="{00000000-0005-0000-0000-0000B3000000}"/>
    <cellStyle name="20% - Accent2 2" xfId="50" xr:uid="{00000000-0005-0000-0000-0000B4000000}"/>
    <cellStyle name="20% - Accent2 2 2" xfId="202" xr:uid="{00000000-0005-0000-0000-0000B5000000}"/>
    <cellStyle name="20% - Accent2 2 2 2" xfId="322" xr:uid="{00000000-0005-0000-0000-0000B6000000}"/>
    <cellStyle name="20% - Accent2 2 2 2 2" xfId="467" xr:uid="{00000000-0005-0000-0000-0000B7000000}"/>
    <cellStyle name="20% - Accent2 2 2 2 2 2" xfId="865" xr:uid="{00000000-0005-0000-0000-0000B8000000}"/>
    <cellStyle name="20% - Accent2 2 2 2 2 2 2" xfId="1663" xr:uid="{00000000-0005-0000-0000-0000B9000000}"/>
    <cellStyle name="20% - Accent2 2 2 2 2 2 2 2" xfId="3259" xr:uid="{00000000-0005-0000-0000-0000BA000000}"/>
    <cellStyle name="20% - Accent2 2 2 2 2 2 3" xfId="2461" xr:uid="{00000000-0005-0000-0000-0000BB000000}"/>
    <cellStyle name="20% - Accent2 2 2 2 2 3" xfId="1264" xr:uid="{00000000-0005-0000-0000-0000BC000000}"/>
    <cellStyle name="20% - Accent2 2 2 2 2 3 2" xfId="2860" xr:uid="{00000000-0005-0000-0000-0000BD000000}"/>
    <cellStyle name="20% - Accent2 2 2 2 2 4" xfId="2062" xr:uid="{00000000-0005-0000-0000-0000BE000000}"/>
    <cellStyle name="20% - Accent2 2 2 2 3" xfId="666" xr:uid="{00000000-0005-0000-0000-0000BF000000}"/>
    <cellStyle name="20% - Accent2 2 2 2 3 2" xfId="1463" xr:uid="{00000000-0005-0000-0000-0000C0000000}"/>
    <cellStyle name="20% - Accent2 2 2 2 3 2 2" xfId="3059" xr:uid="{00000000-0005-0000-0000-0000C1000000}"/>
    <cellStyle name="20% - Accent2 2 2 2 3 3" xfId="2261" xr:uid="{00000000-0005-0000-0000-0000C2000000}"/>
    <cellStyle name="20% - Accent2 2 2 2 4" xfId="1064" xr:uid="{00000000-0005-0000-0000-0000C3000000}"/>
    <cellStyle name="20% - Accent2 2 2 2 4 2" xfId="2660" xr:uid="{00000000-0005-0000-0000-0000C4000000}"/>
    <cellStyle name="20% - Accent2 2 2 2 5" xfId="1862" xr:uid="{00000000-0005-0000-0000-0000C5000000}"/>
    <cellStyle name="20% - Accent2 2 2 3" xfId="323" xr:uid="{00000000-0005-0000-0000-0000C6000000}"/>
    <cellStyle name="20% - Accent2 2 2 3 2" xfId="468" xr:uid="{00000000-0005-0000-0000-0000C7000000}"/>
    <cellStyle name="20% - Accent2 2 2 3 2 2" xfId="866" xr:uid="{00000000-0005-0000-0000-0000C8000000}"/>
    <cellStyle name="20% - Accent2 2 2 3 2 2 2" xfId="1664" xr:uid="{00000000-0005-0000-0000-0000C9000000}"/>
    <cellStyle name="20% - Accent2 2 2 3 2 2 2 2" xfId="3260" xr:uid="{00000000-0005-0000-0000-0000CA000000}"/>
    <cellStyle name="20% - Accent2 2 2 3 2 2 3" xfId="2462" xr:uid="{00000000-0005-0000-0000-0000CB000000}"/>
    <cellStyle name="20% - Accent2 2 2 3 2 3" xfId="1265" xr:uid="{00000000-0005-0000-0000-0000CC000000}"/>
    <cellStyle name="20% - Accent2 2 2 3 2 3 2" xfId="2861" xr:uid="{00000000-0005-0000-0000-0000CD000000}"/>
    <cellStyle name="20% - Accent2 2 2 3 2 4" xfId="2063" xr:uid="{00000000-0005-0000-0000-0000CE000000}"/>
    <cellStyle name="20% - Accent2 2 2 3 3" xfId="667" xr:uid="{00000000-0005-0000-0000-0000CF000000}"/>
    <cellStyle name="20% - Accent2 2 2 3 3 2" xfId="1464" xr:uid="{00000000-0005-0000-0000-0000D0000000}"/>
    <cellStyle name="20% - Accent2 2 2 3 3 2 2" xfId="3060" xr:uid="{00000000-0005-0000-0000-0000D1000000}"/>
    <cellStyle name="20% - Accent2 2 2 3 3 3" xfId="2262" xr:uid="{00000000-0005-0000-0000-0000D2000000}"/>
    <cellStyle name="20% - Accent2 2 2 3 4" xfId="1065" xr:uid="{00000000-0005-0000-0000-0000D3000000}"/>
    <cellStyle name="20% - Accent2 2 2 3 4 2" xfId="2661" xr:uid="{00000000-0005-0000-0000-0000D4000000}"/>
    <cellStyle name="20% - Accent2 2 2 3 5" xfId="1863" xr:uid="{00000000-0005-0000-0000-0000D5000000}"/>
    <cellStyle name="20% - Accent2 2 2 4" xfId="466" xr:uid="{00000000-0005-0000-0000-0000D6000000}"/>
    <cellStyle name="20% - Accent2 2 2 4 2" xfId="864" xr:uid="{00000000-0005-0000-0000-0000D7000000}"/>
    <cellStyle name="20% - Accent2 2 2 4 2 2" xfId="1662" xr:uid="{00000000-0005-0000-0000-0000D8000000}"/>
    <cellStyle name="20% - Accent2 2 2 4 2 2 2" xfId="3258" xr:uid="{00000000-0005-0000-0000-0000D9000000}"/>
    <cellStyle name="20% - Accent2 2 2 4 2 3" xfId="2460" xr:uid="{00000000-0005-0000-0000-0000DA000000}"/>
    <cellStyle name="20% - Accent2 2 2 4 3" xfId="1263" xr:uid="{00000000-0005-0000-0000-0000DB000000}"/>
    <cellStyle name="20% - Accent2 2 2 4 3 2" xfId="2859" xr:uid="{00000000-0005-0000-0000-0000DC000000}"/>
    <cellStyle name="20% - Accent2 2 2 4 4" xfId="2061" xr:uid="{00000000-0005-0000-0000-0000DD000000}"/>
    <cellStyle name="20% - Accent2 2 2 5" xfId="665" xr:uid="{00000000-0005-0000-0000-0000DE000000}"/>
    <cellStyle name="20% - Accent2 2 2 5 2" xfId="1462" xr:uid="{00000000-0005-0000-0000-0000DF000000}"/>
    <cellStyle name="20% - Accent2 2 2 5 2 2" xfId="3058" xr:uid="{00000000-0005-0000-0000-0000E0000000}"/>
    <cellStyle name="20% - Accent2 2 2 5 3" xfId="2260" xr:uid="{00000000-0005-0000-0000-0000E1000000}"/>
    <cellStyle name="20% - Accent2 2 2 6" xfId="1063" xr:uid="{00000000-0005-0000-0000-0000E2000000}"/>
    <cellStyle name="20% - Accent2 2 2 6 2" xfId="2659" xr:uid="{00000000-0005-0000-0000-0000E3000000}"/>
    <cellStyle name="20% - Accent2 2 2 7" xfId="1861" xr:uid="{00000000-0005-0000-0000-0000E4000000}"/>
    <cellStyle name="20% - Accent2 2 2 8" xfId="321" xr:uid="{00000000-0005-0000-0000-0000E5000000}"/>
    <cellStyle name="20% - Accent2 2 3" xfId="232" xr:uid="{00000000-0005-0000-0000-0000E6000000}"/>
    <cellStyle name="20% - Accent2 2 3 2" xfId="469" xr:uid="{00000000-0005-0000-0000-0000E7000000}"/>
    <cellStyle name="20% - Accent2 2 3 2 2" xfId="867" xr:uid="{00000000-0005-0000-0000-0000E8000000}"/>
    <cellStyle name="20% - Accent2 2 3 2 2 2" xfId="1665" xr:uid="{00000000-0005-0000-0000-0000E9000000}"/>
    <cellStyle name="20% - Accent2 2 3 2 2 2 2" xfId="3261" xr:uid="{00000000-0005-0000-0000-0000EA000000}"/>
    <cellStyle name="20% - Accent2 2 3 2 2 3" xfId="2463" xr:uid="{00000000-0005-0000-0000-0000EB000000}"/>
    <cellStyle name="20% - Accent2 2 3 2 3" xfId="1266" xr:uid="{00000000-0005-0000-0000-0000EC000000}"/>
    <cellStyle name="20% - Accent2 2 3 2 3 2" xfId="2862" xr:uid="{00000000-0005-0000-0000-0000ED000000}"/>
    <cellStyle name="20% - Accent2 2 3 2 4" xfId="2064" xr:uid="{00000000-0005-0000-0000-0000EE000000}"/>
    <cellStyle name="20% - Accent2 2 3 3" xfId="668" xr:uid="{00000000-0005-0000-0000-0000EF000000}"/>
    <cellStyle name="20% - Accent2 2 3 3 2" xfId="1465" xr:uid="{00000000-0005-0000-0000-0000F0000000}"/>
    <cellStyle name="20% - Accent2 2 3 3 2 2" xfId="3061" xr:uid="{00000000-0005-0000-0000-0000F1000000}"/>
    <cellStyle name="20% - Accent2 2 3 3 3" xfId="2263" xr:uid="{00000000-0005-0000-0000-0000F2000000}"/>
    <cellStyle name="20% - Accent2 2 3 4" xfId="1066" xr:uid="{00000000-0005-0000-0000-0000F3000000}"/>
    <cellStyle name="20% - Accent2 2 3 4 2" xfId="2662" xr:uid="{00000000-0005-0000-0000-0000F4000000}"/>
    <cellStyle name="20% - Accent2 2 3 5" xfId="1864" xr:uid="{00000000-0005-0000-0000-0000F5000000}"/>
    <cellStyle name="20% - Accent2 2 3 6" xfId="324" xr:uid="{00000000-0005-0000-0000-0000F6000000}"/>
    <cellStyle name="20% - Accent2 2 4" xfId="122" xr:uid="{00000000-0005-0000-0000-0000F7000000}"/>
    <cellStyle name="20% - Accent2 2 4 2" xfId="470" xr:uid="{00000000-0005-0000-0000-0000F8000000}"/>
    <cellStyle name="20% - Accent2 2 4 2 2" xfId="868" xr:uid="{00000000-0005-0000-0000-0000F9000000}"/>
    <cellStyle name="20% - Accent2 2 4 2 2 2" xfId="1666" xr:uid="{00000000-0005-0000-0000-0000FA000000}"/>
    <cellStyle name="20% - Accent2 2 4 2 2 2 2" xfId="3262" xr:uid="{00000000-0005-0000-0000-0000FB000000}"/>
    <cellStyle name="20% - Accent2 2 4 2 2 3" xfId="2464" xr:uid="{00000000-0005-0000-0000-0000FC000000}"/>
    <cellStyle name="20% - Accent2 2 4 2 3" xfId="1267" xr:uid="{00000000-0005-0000-0000-0000FD000000}"/>
    <cellStyle name="20% - Accent2 2 4 2 3 2" xfId="2863" xr:uid="{00000000-0005-0000-0000-0000FE000000}"/>
    <cellStyle name="20% - Accent2 2 4 2 4" xfId="2065" xr:uid="{00000000-0005-0000-0000-0000FF000000}"/>
    <cellStyle name="20% - Accent2 2 4 3" xfId="669" xr:uid="{00000000-0005-0000-0000-000000010000}"/>
    <cellStyle name="20% - Accent2 2 4 3 2" xfId="1466" xr:uid="{00000000-0005-0000-0000-000001010000}"/>
    <cellStyle name="20% - Accent2 2 4 3 2 2" xfId="3062" xr:uid="{00000000-0005-0000-0000-000002010000}"/>
    <cellStyle name="20% - Accent2 2 4 3 3" xfId="2264" xr:uid="{00000000-0005-0000-0000-000003010000}"/>
    <cellStyle name="20% - Accent2 2 4 4" xfId="1067" xr:uid="{00000000-0005-0000-0000-000004010000}"/>
    <cellStyle name="20% - Accent2 2 4 4 2" xfId="2663" xr:uid="{00000000-0005-0000-0000-000005010000}"/>
    <cellStyle name="20% - Accent2 2 4 5" xfId="1865" xr:uid="{00000000-0005-0000-0000-000006010000}"/>
    <cellStyle name="20% - Accent2 2 5" xfId="465" xr:uid="{00000000-0005-0000-0000-000007010000}"/>
    <cellStyle name="20% - Accent2 2 5 2" xfId="863" xr:uid="{00000000-0005-0000-0000-000008010000}"/>
    <cellStyle name="20% - Accent2 2 5 2 2" xfId="1661" xr:uid="{00000000-0005-0000-0000-000009010000}"/>
    <cellStyle name="20% - Accent2 2 5 2 2 2" xfId="3257" xr:uid="{00000000-0005-0000-0000-00000A010000}"/>
    <cellStyle name="20% - Accent2 2 5 2 3" xfId="2459" xr:uid="{00000000-0005-0000-0000-00000B010000}"/>
    <cellStyle name="20% - Accent2 2 5 3" xfId="1262" xr:uid="{00000000-0005-0000-0000-00000C010000}"/>
    <cellStyle name="20% - Accent2 2 5 3 2" xfId="2858" xr:uid="{00000000-0005-0000-0000-00000D010000}"/>
    <cellStyle name="20% - Accent2 2 5 4" xfId="2060" xr:uid="{00000000-0005-0000-0000-00000E010000}"/>
    <cellStyle name="20% - Accent2 2 6" xfId="664" xr:uid="{00000000-0005-0000-0000-00000F010000}"/>
    <cellStyle name="20% - Accent2 2 6 2" xfId="1461" xr:uid="{00000000-0005-0000-0000-000010010000}"/>
    <cellStyle name="20% - Accent2 2 6 2 2" xfId="3057" xr:uid="{00000000-0005-0000-0000-000011010000}"/>
    <cellStyle name="20% - Accent2 2 6 3" xfId="2259" xr:uid="{00000000-0005-0000-0000-000012010000}"/>
    <cellStyle name="20% - Accent2 2 7" xfId="1062" xr:uid="{00000000-0005-0000-0000-000013010000}"/>
    <cellStyle name="20% - Accent2 2 7 2" xfId="2658" xr:uid="{00000000-0005-0000-0000-000014010000}"/>
    <cellStyle name="20% - Accent2 2 8" xfId="1860" xr:uid="{00000000-0005-0000-0000-000015010000}"/>
    <cellStyle name="20% - Accent2 3" xfId="137" xr:uid="{00000000-0005-0000-0000-000016010000}"/>
    <cellStyle name="20% - Accent2 3 2" xfId="325" xr:uid="{00000000-0005-0000-0000-000017010000}"/>
    <cellStyle name="20% - Accent2 3 2 2" xfId="472" xr:uid="{00000000-0005-0000-0000-000018010000}"/>
    <cellStyle name="20% - Accent2 3 2 2 2" xfId="870" xr:uid="{00000000-0005-0000-0000-000019010000}"/>
    <cellStyle name="20% - Accent2 3 2 2 2 2" xfId="1668" xr:uid="{00000000-0005-0000-0000-00001A010000}"/>
    <cellStyle name="20% - Accent2 3 2 2 2 2 2" xfId="3264" xr:uid="{00000000-0005-0000-0000-00001B010000}"/>
    <cellStyle name="20% - Accent2 3 2 2 2 3" xfId="2466" xr:uid="{00000000-0005-0000-0000-00001C010000}"/>
    <cellStyle name="20% - Accent2 3 2 2 3" xfId="1269" xr:uid="{00000000-0005-0000-0000-00001D010000}"/>
    <cellStyle name="20% - Accent2 3 2 2 3 2" xfId="2865" xr:uid="{00000000-0005-0000-0000-00001E010000}"/>
    <cellStyle name="20% - Accent2 3 2 2 4" xfId="2067" xr:uid="{00000000-0005-0000-0000-00001F010000}"/>
    <cellStyle name="20% - Accent2 3 2 3" xfId="671" xr:uid="{00000000-0005-0000-0000-000020010000}"/>
    <cellStyle name="20% - Accent2 3 2 3 2" xfId="1468" xr:uid="{00000000-0005-0000-0000-000021010000}"/>
    <cellStyle name="20% - Accent2 3 2 3 2 2" xfId="3064" xr:uid="{00000000-0005-0000-0000-000022010000}"/>
    <cellStyle name="20% - Accent2 3 2 3 3" xfId="2266" xr:uid="{00000000-0005-0000-0000-000023010000}"/>
    <cellStyle name="20% - Accent2 3 2 4" xfId="1069" xr:uid="{00000000-0005-0000-0000-000024010000}"/>
    <cellStyle name="20% - Accent2 3 2 4 2" xfId="2665" xr:uid="{00000000-0005-0000-0000-000025010000}"/>
    <cellStyle name="20% - Accent2 3 2 5" xfId="1867" xr:uid="{00000000-0005-0000-0000-000026010000}"/>
    <cellStyle name="20% - Accent2 3 3" xfId="326" xr:uid="{00000000-0005-0000-0000-000027010000}"/>
    <cellStyle name="20% - Accent2 3 3 2" xfId="473" xr:uid="{00000000-0005-0000-0000-000028010000}"/>
    <cellStyle name="20% - Accent2 3 3 2 2" xfId="871" xr:uid="{00000000-0005-0000-0000-000029010000}"/>
    <cellStyle name="20% - Accent2 3 3 2 2 2" xfId="1669" xr:uid="{00000000-0005-0000-0000-00002A010000}"/>
    <cellStyle name="20% - Accent2 3 3 2 2 2 2" xfId="3265" xr:uid="{00000000-0005-0000-0000-00002B010000}"/>
    <cellStyle name="20% - Accent2 3 3 2 2 3" xfId="2467" xr:uid="{00000000-0005-0000-0000-00002C010000}"/>
    <cellStyle name="20% - Accent2 3 3 2 3" xfId="1270" xr:uid="{00000000-0005-0000-0000-00002D010000}"/>
    <cellStyle name="20% - Accent2 3 3 2 3 2" xfId="2866" xr:uid="{00000000-0005-0000-0000-00002E010000}"/>
    <cellStyle name="20% - Accent2 3 3 2 4" xfId="2068" xr:uid="{00000000-0005-0000-0000-00002F010000}"/>
    <cellStyle name="20% - Accent2 3 3 3" xfId="672" xr:uid="{00000000-0005-0000-0000-000030010000}"/>
    <cellStyle name="20% - Accent2 3 3 3 2" xfId="1469" xr:uid="{00000000-0005-0000-0000-000031010000}"/>
    <cellStyle name="20% - Accent2 3 3 3 2 2" xfId="3065" xr:uid="{00000000-0005-0000-0000-000032010000}"/>
    <cellStyle name="20% - Accent2 3 3 3 3" xfId="2267" xr:uid="{00000000-0005-0000-0000-000033010000}"/>
    <cellStyle name="20% - Accent2 3 3 4" xfId="1070" xr:uid="{00000000-0005-0000-0000-000034010000}"/>
    <cellStyle name="20% - Accent2 3 3 4 2" xfId="2666" xr:uid="{00000000-0005-0000-0000-000035010000}"/>
    <cellStyle name="20% - Accent2 3 3 5" xfId="1868" xr:uid="{00000000-0005-0000-0000-000036010000}"/>
    <cellStyle name="20% - Accent2 3 4" xfId="471" xr:uid="{00000000-0005-0000-0000-000037010000}"/>
    <cellStyle name="20% - Accent2 3 4 2" xfId="869" xr:uid="{00000000-0005-0000-0000-000038010000}"/>
    <cellStyle name="20% - Accent2 3 4 2 2" xfId="1667" xr:uid="{00000000-0005-0000-0000-000039010000}"/>
    <cellStyle name="20% - Accent2 3 4 2 2 2" xfId="3263" xr:uid="{00000000-0005-0000-0000-00003A010000}"/>
    <cellStyle name="20% - Accent2 3 4 2 3" xfId="2465" xr:uid="{00000000-0005-0000-0000-00003B010000}"/>
    <cellStyle name="20% - Accent2 3 4 3" xfId="1268" xr:uid="{00000000-0005-0000-0000-00003C010000}"/>
    <cellStyle name="20% - Accent2 3 4 3 2" xfId="2864" xr:uid="{00000000-0005-0000-0000-00003D010000}"/>
    <cellStyle name="20% - Accent2 3 4 4" xfId="2066" xr:uid="{00000000-0005-0000-0000-00003E010000}"/>
    <cellStyle name="20% - Accent2 3 5" xfId="670" xr:uid="{00000000-0005-0000-0000-00003F010000}"/>
    <cellStyle name="20% - Accent2 3 5 2" xfId="1467" xr:uid="{00000000-0005-0000-0000-000040010000}"/>
    <cellStyle name="20% - Accent2 3 5 2 2" xfId="3063" xr:uid="{00000000-0005-0000-0000-000041010000}"/>
    <cellStyle name="20% - Accent2 3 5 3" xfId="2265" xr:uid="{00000000-0005-0000-0000-000042010000}"/>
    <cellStyle name="20% - Accent2 3 6" xfId="1068" xr:uid="{00000000-0005-0000-0000-000043010000}"/>
    <cellStyle name="20% - Accent2 3 6 2" xfId="2664" xr:uid="{00000000-0005-0000-0000-000044010000}"/>
    <cellStyle name="20% - Accent2 3 7" xfId="1866" xr:uid="{00000000-0005-0000-0000-000045010000}"/>
    <cellStyle name="20% - Accent2 4" xfId="151" xr:uid="{00000000-0005-0000-0000-000046010000}"/>
    <cellStyle name="20% - Accent2 4 2" xfId="474" xr:uid="{00000000-0005-0000-0000-000047010000}"/>
    <cellStyle name="20% - Accent2 4 2 2" xfId="872" xr:uid="{00000000-0005-0000-0000-000048010000}"/>
    <cellStyle name="20% - Accent2 4 2 2 2" xfId="1670" xr:uid="{00000000-0005-0000-0000-000049010000}"/>
    <cellStyle name="20% - Accent2 4 2 2 2 2" xfId="3266" xr:uid="{00000000-0005-0000-0000-00004A010000}"/>
    <cellStyle name="20% - Accent2 4 2 2 3" xfId="2468" xr:uid="{00000000-0005-0000-0000-00004B010000}"/>
    <cellStyle name="20% - Accent2 4 2 3" xfId="1271" xr:uid="{00000000-0005-0000-0000-00004C010000}"/>
    <cellStyle name="20% - Accent2 4 2 3 2" xfId="2867" xr:uid="{00000000-0005-0000-0000-00004D010000}"/>
    <cellStyle name="20% - Accent2 4 2 4" xfId="2069" xr:uid="{00000000-0005-0000-0000-00004E010000}"/>
    <cellStyle name="20% - Accent2 4 3" xfId="673" xr:uid="{00000000-0005-0000-0000-00004F010000}"/>
    <cellStyle name="20% - Accent2 4 3 2" xfId="1470" xr:uid="{00000000-0005-0000-0000-000050010000}"/>
    <cellStyle name="20% - Accent2 4 3 2 2" xfId="3066" xr:uid="{00000000-0005-0000-0000-000051010000}"/>
    <cellStyle name="20% - Accent2 4 3 3" xfId="2268" xr:uid="{00000000-0005-0000-0000-000052010000}"/>
    <cellStyle name="20% - Accent2 4 4" xfId="1071" xr:uid="{00000000-0005-0000-0000-000053010000}"/>
    <cellStyle name="20% - Accent2 4 4 2" xfId="2667" xr:uid="{00000000-0005-0000-0000-000054010000}"/>
    <cellStyle name="20% - Accent2 4 5" xfId="1869" xr:uid="{00000000-0005-0000-0000-000055010000}"/>
    <cellStyle name="20% - Accent2 5" xfId="103" xr:uid="{00000000-0005-0000-0000-000056010000}"/>
    <cellStyle name="20% - Accent2 5 2" xfId="475" xr:uid="{00000000-0005-0000-0000-000057010000}"/>
    <cellStyle name="20% - Accent2 5 2 2" xfId="873" xr:uid="{00000000-0005-0000-0000-000058010000}"/>
    <cellStyle name="20% - Accent2 5 2 2 2" xfId="1671" xr:uid="{00000000-0005-0000-0000-000059010000}"/>
    <cellStyle name="20% - Accent2 5 2 2 2 2" xfId="3267" xr:uid="{00000000-0005-0000-0000-00005A010000}"/>
    <cellStyle name="20% - Accent2 5 2 2 3" xfId="2469" xr:uid="{00000000-0005-0000-0000-00005B010000}"/>
    <cellStyle name="20% - Accent2 5 2 3" xfId="1272" xr:uid="{00000000-0005-0000-0000-00005C010000}"/>
    <cellStyle name="20% - Accent2 5 2 3 2" xfId="2868" xr:uid="{00000000-0005-0000-0000-00005D010000}"/>
    <cellStyle name="20% - Accent2 5 2 4" xfId="2070" xr:uid="{00000000-0005-0000-0000-00005E010000}"/>
    <cellStyle name="20% - Accent2 5 3" xfId="674" xr:uid="{00000000-0005-0000-0000-00005F010000}"/>
    <cellStyle name="20% - Accent2 5 3 2" xfId="1471" xr:uid="{00000000-0005-0000-0000-000060010000}"/>
    <cellStyle name="20% - Accent2 5 3 2 2" xfId="3067" xr:uid="{00000000-0005-0000-0000-000061010000}"/>
    <cellStyle name="20% - Accent2 5 3 3" xfId="2269" xr:uid="{00000000-0005-0000-0000-000062010000}"/>
    <cellStyle name="20% - Accent2 5 4" xfId="1072" xr:uid="{00000000-0005-0000-0000-000063010000}"/>
    <cellStyle name="20% - Accent2 5 4 2" xfId="2668" xr:uid="{00000000-0005-0000-0000-000064010000}"/>
    <cellStyle name="20% - Accent2 5 5" xfId="1870" xr:uid="{00000000-0005-0000-0000-000065010000}"/>
    <cellStyle name="20% - Accent2 6" xfId="289" xr:uid="{00000000-0005-0000-0000-000066010000}"/>
    <cellStyle name="20% - Accent3" xfId="33" builtinId="38" customBuiltin="1"/>
    <cellStyle name="20% - Accent3 2" xfId="51" xr:uid="{00000000-0005-0000-0000-000068010000}"/>
    <cellStyle name="20% - Accent3 2 2" xfId="193" xr:uid="{00000000-0005-0000-0000-000069010000}"/>
    <cellStyle name="20% - Accent3 2 2 2" xfId="328" xr:uid="{00000000-0005-0000-0000-00006A010000}"/>
    <cellStyle name="20% - Accent3 2 2 2 2" xfId="478" xr:uid="{00000000-0005-0000-0000-00006B010000}"/>
    <cellStyle name="20% - Accent3 2 2 2 2 2" xfId="876" xr:uid="{00000000-0005-0000-0000-00006C010000}"/>
    <cellStyle name="20% - Accent3 2 2 2 2 2 2" xfId="1674" xr:uid="{00000000-0005-0000-0000-00006D010000}"/>
    <cellStyle name="20% - Accent3 2 2 2 2 2 2 2" xfId="3270" xr:uid="{00000000-0005-0000-0000-00006E010000}"/>
    <cellStyle name="20% - Accent3 2 2 2 2 2 3" xfId="2472" xr:uid="{00000000-0005-0000-0000-00006F010000}"/>
    <cellStyle name="20% - Accent3 2 2 2 2 3" xfId="1275" xr:uid="{00000000-0005-0000-0000-000070010000}"/>
    <cellStyle name="20% - Accent3 2 2 2 2 3 2" xfId="2871" xr:uid="{00000000-0005-0000-0000-000071010000}"/>
    <cellStyle name="20% - Accent3 2 2 2 2 4" xfId="2073" xr:uid="{00000000-0005-0000-0000-000072010000}"/>
    <cellStyle name="20% - Accent3 2 2 2 3" xfId="677" xr:uid="{00000000-0005-0000-0000-000073010000}"/>
    <cellStyle name="20% - Accent3 2 2 2 3 2" xfId="1474" xr:uid="{00000000-0005-0000-0000-000074010000}"/>
    <cellStyle name="20% - Accent3 2 2 2 3 2 2" xfId="3070" xr:uid="{00000000-0005-0000-0000-000075010000}"/>
    <cellStyle name="20% - Accent3 2 2 2 3 3" xfId="2272" xr:uid="{00000000-0005-0000-0000-000076010000}"/>
    <cellStyle name="20% - Accent3 2 2 2 4" xfId="1075" xr:uid="{00000000-0005-0000-0000-000077010000}"/>
    <cellStyle name="20% - Accent3 2 2 2 4 2" xfId="2671" xr:uid="{00000000-0005-0000-0000-000078010000}"/>
    <cellStyle name="20% - Accent3 2 2 2 5" xfId="1873" xr:uid="{00000000-0005-0000-0000-000079010000}"/>
    <cellStyle name="20% - Accent3 2 2 3" xfId="329" xr:uid="{00000000-0005-0000-0000-00007A010000}"/>
    <cellStyle name="20% - Accent3 2 2 3 2" xfId="479" xr:uid="{00000000-0005-0000-0000-00007B010000}"/>
    <cellStyle name="20% - Accent3 2 2 3 2 2" xfId="877" xr:uid="{00000000-0005-0000-0000-00007C010000}"/>
    <cellStyle name="20% - Accent3 2 2 3 2 2 2" xfId="1675" xr:uid="{00000000-0005-0000-0000-00007D010000}"/>
    <cellStyle name="20% - Accent3 2 2 3 2 2 2 2" xfId="3271" xr:uid="{00000000-0005-0000-0000-00007E010000}"/>
    <cellStyle name="20% - Accent3 2 2 3 2 2 3" xfId="2473" xr:uid="{00000000-0005-0000-0000-00007F010000}"/>
    <cellStyle name="20% - Accent3 2 2 3 2 3" xfId="1276" xr:uid="{00000000-0005-0000-0000-000080010000}"/>
    <cellStyle name="20% - Accent3 2 2 3 2 3 2" xfId="2872" xr:uid="{00000000-0005-0000-0000-000081010000}"/>
    <cellStyle name="20% - Accent3 2 2 3 2 4" xfId="2074" xr:uid="{00000000-0005-0000-0000-000082010000}"/>
    <cellStyle name="20% - Accent3 2 2 3 3" xfId="678" xr:uid="{00000000-0005-0000-0000-000083010000}"/>
    <cellStyle name="20% - Accent3 2 2 3 3 2" xfId="1475" xr:uid="{00000000-0005-0000-0000-000084010000}"/>
    <cellStyle name="20% - Accent3 2 2 3 3 2 2" xfId="3071" xr:uid="{00000000-0005-0000-0000-000085010000}"/>
    <cellStyle name="20% - Accent3 2 2 3 3 3" xfId="2273" xr:uid="{00000000-0005-0000-0000-000086010000}"/>
    <cellStyle name="20% - Accent3 2 2 3 4" xfId="1076" xr:uid="{00000000-0005-0000-0000-000087010000}"/>
    <cellStyle name="20% - Accent3 2 2 3 4 2" xfId="2672" xr:uid="{00000000-0005-0000-0000-000088010000}"/>
    <cellStyle name="20% - Accent3 2 2 3 5" xfId="1874" xr:uid="{00000000-0005-0000-0000-000089010000}"/>
    <cellStyle name="20% - Accent3 2 2 4" xfId="477" xr:uid="{00000000-0005-0000-0000-00008A010000}"/>
    <cellStyle name="20% - Accent3 2 2 4 2" xfId="875" xr:uid="{00000000-0005-0000-0000-00008B010000}"/>
    <cellStyle name="20% - Accent3 2 2 4 2 2" xfId="1673" xr:uid="{00000000-0005-0000-0000-00008C010000}"/>
    <cellStyle name="20% - Accent3 2 2 4 2 2 2" xfId="3269" xr:uid="{00000000-0005-0000-0000-00008D010000}"/>
    <cellStyle name="20% - Accent3 2 2 4 2 3" xfId="2471" xr:uid="{00000000-0005-0000-0000-00008E010000}"/>
    <cellStyle name="20% - Accent3 2 2 4 3" xfId="1274" xr:uid="{00000000-0005-0000-0000-00008F010000}"/>
    <cellStyle name="20% - Accent3 2 2 4 3 2" xfId="2870" xr:uid="{00000000-0005-0000-0000-000090010000}"/>
    <cellStyle name="20% - Accent3 2 2 4 4" xfId="2072" xr:uid="{00000000-0005-0000-0000-000091010000}"/>
    <cellStyle name="20% - Accent3 2 2 5" xfId="676" xr:uid="{00000000-0005-0000-0000-000092010000}"/>
    <cellStyle name="20% - Accent3 2 2 5 2" xfId="1473" xr:uid="{00000000-0005-0000-0000-000093010000}"/>
    <cellStyle name="20% - Accent3 2 2 5 2 2" xfId="3069" xr:uid="{00000000-0005-0000-0000-000094010000}"/>
    <cellStyle name="20% - Accent3 2 2 5 3" xfId="2271" xr:uid="{00000000-0005-0000-0000-000095010000}"/>
    <cellStyle name="20% - Accent3 2 2 6" xfId="1074" xr:uid="{00000000-0005-0000-0000-000096010000}"/>
    <cellStyle name="20% - Accent3 2 2 6 2" xfId="2670" xr:uid="{00000000-0005-0000-0000-000097010000}"/>
    <cellStyle name="20% - Accent3 2 2 7" xfId="1872" xr:uid="{00000000-0005-0000-0000-000098010000}"/>
    <cellStyle name="20% - Accent3 2 2 8" xfId="327" xr:uid="{00000000-0005-0000-0000-000099010000}"/>
    <cellStyle name="20% - Accent3 2 3" xfId="231" xr:uid="{00000000-0005-0000-0000-00009A010000}"/>
    <cellStyle name="20% - Accent3 2 3 2" xfId="480" xr:uid="{00000000-0005-0000-0000-00009B010000}"/>
    <cellStyle name="20% - Accent3 2 3 2 2" xfId="878" xr:uid="{00000000-0005-0000-0000-00009C010000}"/>
    <cellStyle name="20% - Accent3 2 3 2 2 2" xfId="1676" xr:uid="{00000000-0005-0000-0000-00009D010000}"/>
    <cellStyle name="20% - Accent3 2 3 2 2 2 2" xfId="3272" xr:uid="{00000000-0005-0000-0000-00009E010000}"/>
    <cellStyle name="20% - Accent3 2 3 2 2 3" xfId="2474" xr:uid="{00000000-0005-0000-0000-00009F010000}"/>
    <cellStyle name="20% - Accent3 2 3 2 3" xfId="1277" xr:uid="{00000000-0005-0000-0000-0000A0010000}"/>
    <cellStyle name="20% - Accent3 2 3 2 3 2" xfId="2873" xr:uid="{00000000-0005-0000-0000-0000A1010000}"/>
    <cellStyle name="20% - Accent3 2 3 2 4" xfId="2075" xr:uid="{00000000-0005-0000-0000-0000A2010000}"/>
    <cellStyle name="20% - Accent3 2 3 3" xfId="679" xr:uid="{00000000-0005-0000-0000-0000A3010000}"/>
    <cellStyle name="20% - Accent3 2 3 3 2" xfId="1476" xr:uid="{00000000-0005-0000-0000-0000A4010000}"/>
    <cellStyle name="20% - Accent3 2 3 3 2 2" xfId="3072" xr:uid="{00000000-0005-0000-0000-0000A5010000}"/>
    <cellStyle name="20% - Accent3 2 3 3 3" xfId="2274" xr:uid="{00000000-0005-0000-0000-0000A6010000}"/>
    <cellStyle name="20% - Accent3 2 3 4" xfId="1077" xr:uid="{00000000-0005-0000-0000-0000A7010000}"/>
    <cellStyle name="20% - Accent3 2 3 4 2" xfId="2673" xr:uid="{00000000-0005-0000-0000-0000A8010000}"/>
    <cellStyle name="20% - Accent3 2 3 5" xfId="1875" xr:uid="{00000000-0005-0000-0000-0000A9010000}"/>
    <cellStyle name="20% - Accent3 2 3 6" xfId="330" xr:uid="{00000000-0005-0000-0000-0000AA010000}"/>
    <cellStyle name="20% - Accent3 2 4" xfId="124" xr:uid="{00000000-0005-0000-0000-0000AB010000}"/>
    <cellStyle name="20% - Accent3 2 4 2" xfId="481" xr:uid="{00000000-0005-0000-0000-0000AC010000}"/>
    <cellStyle name="20% - Accent3 2 4 2 2" xfId="879" xr:uid="{00000000-0005-0000-0000-0000AD010000}"/>
    <cellStyle name="20% - Accent3 2 4 2 2 2" xfId="1677" xr:uid="{00000000-0005-0000-0000-0000AE010000}"/>
    <cellStyle name="20% - Accent3 2 4 2 2 2 2" xfId="3273" xr:uid="{00000000-0005-0000-0000-0000AF010000}"/>
    <cellStyle name="20% - Accent3 2 4 2 2 3" xfId="2475" xr:uid="{00000000-0005-0000-0000-0000B0010000}"/>
    <cellStyle name="20% - Accent3 2 4 2 3" xfId="1278" xr:uid="{00000000-0005-0000-0000-0000B1010000}"/>
    <cellStyle name="20% - Accent3 2 4 2 3 2" xfId="2874" xr:uid="{00000000-0005-0000-0000-0000B2010000}"/>
    <cellStyle name="20% - Accent3 2 4 2 4" xfId="2076" xr:uid="{00000000-0005-0000-0000-0000B3010000}"/>
    <cellStyle name="20% - Accent3 2 4 3" xfId="680" xr:uid="{00000000-0005-0000-0000-0000B4010000}"/>
    <cellStyle name="20% - Accent3 2 4 3 2" xfId="1477" xr:uid="{00000000-0005-0000-0000-0000B5010000}"/>
    <cellStyle name="20% - Accent3 2 4 3 2 2" xfId="3073" xr:uid="{00000000-0005-0000-0000-0000B6010000}"/>
    <cellStyle name="20% - Accent3 2 4 3 3" xfId="2275" xr:uid="{00000000-0005-0000-0000-0000B7010000}"/>
    <cellStyle name="20% - Accent3 2 4 4" xfId="1078" xr:uid="{00000000-0005-0000-0000-0000B8010000}"/>
    <cellStyle name="20% - Accent3 2 4 4 2" xfId="2674" xr:uid="{00000000-0005-0000-0000-0000B9010000}"/>
    <cellStyle name="20% - Accent3 2 4 5" xfId="1876" xr:uid="{00000000-0005-0000-0000-0000BA010000}"/>
    <cellStyle name="20% - Accent3 2 5" xfId="476" xr:uid="{00000000-0005-0000-0000-0000BB010000}"/>
    <cellStyle name="20% - Accent3 2 5 2" xfId="874" xr:uid="{00000000-0005-0000-0000-0000BC010000}"/>
    <cellStyle name="20% - Accent3 2 5 2 2" xfId="1672" xr:uid="{00000000-0005-0000-0000-0000BD010000}"/>
    <cellStyle name="20% - Accent3 2 5 2 2 2" xfId="3268" xr:uid="{00000000-0005-0000-0000-0000BE010000}"/>
    <cellStyle name="20% - Accent3 2 5 2 3" xfId="2470" xr:uid="{00000000-0005-0000-0000-0000BF010000}"/>
    <cellStyle name="20% - Accent3 2 5 3" xfId="1273" xr:uid="{00000000-0005-0000-0000-0000C0010000}"/>
    <cellStyle name="20% - Accent3 2 5 3 2" xfId="2869" xr:uid="{00000000-0005-0000-0000-0000C1010000}"/>
    <cellStyle name="20% - Accent3 2 5 4" xfId="2071" xr:uid="{00000000-0005-0000-0000-0000C2010000}"/>
    <cellStyle name="20% - Accent3 2 6" xfId="675" xr:uid="{00000000-0005-0000-0000-0000C3010000}"/>
    <cellStyle name="20% - Accent3 2 6 2" xfId="1472" xr:uid="{00000000-0005-0000-0000-0000C4010000}"/>
    <cellStyle name="20% - Accent3 2 6 2 2" xfId="3068" xr:uid="{00000000-0005-0000-0000-0000C5010000}"/>
    <cellStyle name="20% - Accent3 2 6 3" xfId="2270" xr:uid="{00000000-0005-0000-0000-0000C6010000}"/>
    <cellStyle name="20% - Accent3 2 7" xfId="1073" xr:uid="{00000000-0005-0000-0000-0000C7010000}"/>
    <cellStyle name="20% - Accent3 2 7 2" xfId="2669" xr:uid="{00000000-0005-0000-0000-0000C8010000}"/>
    <cellStyle name="20% - Accent3 2 8" xfId="1871" xr:uid="{00000000-0005-0000-0000-0000C9010000}"/>
    <cellStyle name="20% - Accent3 3" xfId="139" xr:uid="{00000000-0005-0000-0000-0000CA010000}"/>
    <cellStyle name="20% - Accent3 3 2" xfId="331" xr:uid="{00000000-0005-0000-0000-0000CB010000}"/>
    <cellStyle name="20% - Accent3 3 2 2" xfId="483" xr:uid="{00000000-0005-0000-0000-0000CC010000}"/>
    <cellStyle name="20% - Accent3 3 2 2 2" xfId="881" xr:uid="{00000000-0005-0000-0000-0000CD010000}"/>
    <cellStyle name="20% - Accent3 3 2 2 2 2" xfId="1679" xr:uid="{00000000-0005-0000-0000-0000CE010000}"/>
    <cellStyle name="20% - Accent3 3 2 2 2 2 2" xfId="3275" xr:uid="{00000000-0005-0000-0000-0000CF010000}"/>
    <cellStyle name="20% - Accent3 3 2 2 2 3" xfId="2477" xr:uid="{00000000-0005-0000-0000-0000D0010000}"/>
    <cellStyle name="20% - Accent3 3 2 2 3" xfId="1280" xr:uid="{00000000-0005-0000-0000-0000D1010000}"/>
    <cellStyle name="20% - Accent3 3 2 2 3 2" xfId="2876" xr:uid="{00000000-0005-0000-0000-0000D2010000}"/>
    <cellStyle name="20% - Accent3 3 2 2 4" xfId="2078" xr:uid="{00000000-0005-0000-0000-0000D3010000}"/>
    <cellStyle name="20% - Accent3 3 2 3" xfId="682" xr:uid="{00000000-0005-0000-0000-0000D4010000}"/>
    <cellStyle name="20% - Accent3 3 2 3 2" xfId="1479" xr:uid="{00000000-0005-0000-0000-0000D5010000}"/>
    <cellStyle name="20% - Accent3 3 2 3 2 2" xfId="3075" xr:uid="{00000000-0005-0000-0000-0000D6010000}"/>
    <cellStyle name="20% - Accent3 3 2 3 3" xfId="2277" xr:uid="{00000000-0005-0000-0000-0000D7010000}"/>
    <cellStyle name="20% - Accent3 3 2 4" xfId="1080" xr:uid="{00000000-0005-0000-0000-0000D8010000}"/>
    <cellStyle name="20% - Accent3 3 2 4 2" xfId="2676" xr:uid="{00000000-0005-0000-0000-0000D9010000}"/>
    <cellStyle name="20% - Accent3 3 2 5" xfId="1878" xr:uid="{00000000-0005-0000-0000-0000DA010000}"/>
    <cellStyle name="20% - Accent3 3 3" xfId="332" xr:uid="{00000000-0005-0000-0000-0000DB010000}"/>
    <cellStyle name="20% - Accent3 3 3 2" xfId="484" xr:uid="{00000000-0005-0000-0000-0000DC010000}"/>
    <cellStyle name="20% - Accent3 3 3 2 2" xfId="882" xr:uid="{00000000-0005-0000-0000-0000DD010000}"/>
    <cellStyle name="20% - Accent3 3 3 2 2 2" xfId="1680" xr:uid="{00000000-0005-0000-0000-0000DE010000}"/>
    <cellStyle name="20% - Accent3 3 3 2 2 2 2" xfId="3276" xr:uid="{00000000-0005-0000-0000-0000DF010000}"/>
    <cellStyle name="20% - Accent3 3 3 2 2 3" xfId="2478" xr:uid="{00000000-0005-0000-0000-0000E0010000}"/>
    <cellStyle name="20% - Accent3 3 3 2 3" xfId="1281" xr:uid="{00000000-0005-0000-0000-0000E1010000}"/>
    <cellStyle name="20% - Accent3 3 3 2 3 2" xfId="2877" xr:uid="{00000000-0005-0000-0000-0000E2010000}"/>
    <cellStyle name="20% - Accent3 3 3 2 4" xfId="2079" xr:uid="{00000000-0005-0000-0000-0000E3010000}"/>
    <cellStyle name="20% - Accent3 3 3 3" xfId="683" xr:uid="{00000000-0005-0000-0000-0000E4010000}"/>
    <cellStyle name="20% - Accent3 3 3 3 2" xfId="1480" xr:uid="{00000000-0005-0000-0000-0000E5010000}"/>
    <cellStyle name="20% - Accent3 3 3 3 2 2" xfId="3076" xr:uid="{00000000-0005-0000-0000-0000E6010000}"/>
    <cellStyle name="20% - Accent3 3 3 3 3" xfId="2278" xr:uid="{00000000-0005-0000-0000-0000E7010000}"/>
    <cellStyle name="20% - Accent3 3 3 4" xfId="1081" xr:uid="{00000000-0005-0000-0000-0000E8010000}"/>
    <cellStyle name="20% - Accent3 3 3 4 2" xfId="2677" xr:uid="{00000000-0005-0000-0000-0000E9010000}"/>
    <cellStyle name="20% - Accent3 3 3 5" xfId="1879" xr:uid="{00000000-0005-0000-0000-0000EA010000}"/>
    <cellStyle name="20% - Accent3 3 4" xfId="482" xr:uid="{00000000-0005-0000-0000-0000EB010000}"/>
    <cellStyle name="20% - Accent3 3 4 2" xfId="880" xr:uid="{00000000-0005-0000-0000-0000EC010000}"/>
    <cellStyle name="20% - Accent3 3 4 2 2" xfId="1678" xr:uid="{00000000-0005-0000-0000-0000ED010000}"/>
    <cellStyle name="20% - Accent3 3 4 2 2 2" xfId="3274" xr:uid="{00000000-0005-0000-0000-0000EE010000}"/>
    <cellStyle name="20% - Accent3 3 4 2 3" xfId="2476" xr:uid="{00000000-0005-0000-0000-0000EF010000}"/>
    <cellStyle name="20% - Accent3 3 4 3" xfId="1279" xr:uid="{00000000-0005-0000-0000-0000F0010000}"/>
    <cellStyle name="20% - Accent3 3 4 3 2" xfId="2875" xr:uid="{00000000-0005-0000-0000-0000F1010000}"/>
    <cellStyle name="20% - Accent3 3 4 4" xfId="2077" xr:uid="{00000000-0005-0000-0000-0000F2010000}"/>
    <cellStyle name="20% - Accent3 3 5" xfId="681" xr:uid="{00000000-0005-0000-0000-0000F3010000}"/>
    <cellStyle name="20% - Accent3 3 5 2" xfId="1478" xr:uid="{00000000-0005-0000-0000-0000F4010000}"/>
    <cellStyle name="20% - Accent3 3 5 2 2" xfId="3074" xr:uid="{00000000-0005-0000-0000-0000F5010000}"/>
    <cellStyle name="20% - Accent3 3 5 3" xfId="2276" xr:uid="{00000000-0005-0000-0000-0000F6010000}"/>
    <cellStyle name="20% - Accent3 3 6" xfId="1079" xr:uid="{00000000-0005-0000-0000-0000F7010000}"/>
    <cellStyle name="20% - Accent3 3 6 2" xfId="2675" xr:uid="{00000000-0005-0000-0000-0000F8010000}"/>
    <cellStyle name="20% - Accent3 3 7" xfId="1877" xr:uid="{00000000-0005-0000-0000-0000F9010000}"/>
    <cellStyle name="20% - Accent3 4" xfId="153" xr:uid="{00000000-0005-0000-0000-0000FA010000}"/>
    <cellStyle name="20% - Accent3 4 2" xfId="485" xr:uid="{00000000-0005-0000-0000-0000FB010000}"/>
    <cellStyle name="20% - Accent3 4 2 2" xfId="883" xr:uid="{00000000-0005-0000-0000-0000FC010000}"/>
    <cellStyle name="20% - Accent3 4 2 2 2" xfId="1681" xr:uid="{00000000-0005-0000-0000-0000FD010000}"/>
    <cellStyle name="20% - Accent3 4 2 2 2 2" xfId="3277" xr:uid="{00000000-0005-0000-0000-0000FE010000}"/>
    <cellStyle name="20% - Accent3 4 2 2 3" xfId="2479" xr:uid="{00000000-0005-0000-0000-0000FF010000}"/>
    <cellStyle name="20% - Accent3 4 2 3" xfId="1282" xr:uid="{00000000-0005-0000-0000-000000020000}"/>
    <cellStyle name="20% - Accent3 4 2 3 2" xfId="2878" xr:uid="{00000000-0005-0000-0000-000001020000}"/>
    <cellStyle name="20% - Accent3 4 2 4" xfId="2080" xr:uid="{00000000-0005-0000-0000-000002020000}"/>
    <cellStyle name="20% - Accent3 4 3" xfId="684" xr:uid="{00000000-0005-0000-0000-000003020000}"/>
    <cellStyle name="20% - Accent3 4 3 2" xfId="1481" xr:uid="{00000000-0005-0000-0000-000004020000}"/>
    <cellStyle name="20% - Accent3 4 3 2 2" xfId="3077" xr:uid="{00000000-0005-0000-0000-000005020000}"/>
    <cellStyle name="20% - Accent3 4 3 3" xfId="2279" xr:uid="{00000000-0005-0000-0000-000006020000}"/>
    <cellStyle name="20% - Accent3 4 4" xfId="1082" xr:uid="{00000000-0005-0000-0000-000007020000}"/>
    <cellStyle name="20% - Accent3 4 4 2" xfId="2678" xr:uid="{00000000-0005-0000-0000-000008020000}"/>
    <cellStyle name="20% - Accent3 4 5" xfId="1880" xr:uid="{00000000-0005-0000-0000-000009020000}"/>
    <cellStyle name="20% - Accent3 5" xfId="333" xr:uid="{00000000-0005-0000-0000-00000A020000}"/>
    <cellStyle name="20% - Accent3 5 2" xfId="486" xr:uid="{00000000-0005-0000-0000-00000B020000}"/>
    <cellStyle name="20% - Accent3 5 2 2" xfId="884" xr:uid="{00000000-0005-0000-0000-00000C020000}"/>
    <cellStyle name="20% - Accent3 5 2 2 2" xfId="1682" xr:uid="{00000000-0005-0000-0000-00000D020000}"/>
    <cellStyle name="20% - Accent3 5 2 2 2 2" xfId="3278" xr:uid="{00000000-0005-0000-0000-00000E020000}"/>
    <cellStyle name="20% - Accent3 5 2 2 3" xfId="2480" xr:uid="{00000000-0005-0000-0000-00000F020000}"/>
    <cellStyle name="20% - Accent3 5 2 3" xfId="1283" xr:uid="{00000000-0005-0000-0000-000010020000}"/>
    <cellStyle name="20% - Accent3 5 2 3 2" xfId="2879" xr:uid="{00000000-0005-0000-0000-000011020000}"/>
    <cellStyle name="20% - Accent3 5 2 4" xfId="2081" xr:uid="{00000000-0005-0000-0000-000012020000}"/>
    <cellStyle name="20% - Accent3 5 3" xfId="685" xr:uid="{00000000-0005-0000-0000-000013020000}"/>
    <cellStyle name="20% - Accent3 5 3 2" xfId="1482" xr:uid="{00000000-0005-0000-0000-000014020000}"/>
    <cellStyle name="20% - Accent3 5 3 2 2" xfId="3078" xr:uid="{00000000-0005-0000-0000-000015020000}"/>
    <cellStyle name="20% - Accent3 5 3 3" xfId="2280" xr:uid="{00000000-0005-0000-0000-000016020000}"/>
    <cellStyle name="20% - Accent3 5 4" xfId="1083" xr:uid="{00000000-0005-0000-0000-000017020000}"/>
    <cellStyle name="20% - Accent3 5 4 2" xfId="2679" xr:uid="{00000000-0005-0000-0000-000018020000}"/>
    <cellStyle name="20% - Accent3 5 5" xfId="1881" xr:uid="{00000000-0005-0000-0000-000019020000}"/>
    <cellStyle name="20% - Accent3 6" xfId="290" xr:uid="{00000000-0005-0000-0000-00001A020000}"/>
    <cellStyle name="20% - Accent4" xfId="37" builtinId="42" customBuiltin="1"/>
    <cellStyle name="20% - Accent4 2" xfId="52" xr:uid="{00000000-0005-0000-0000-00001C020000}"/>
    <cellStyle name="20% - Accent4 2 2" xfId="172" xr:uid="{00000000-0005-0000-0000-00001D020000}"/>
    <cellStyle name="20% - Accent4 2 2 2" xfId="335" xr:uid="{00000000-0005-0000-0000-00001E020000}"/>
    <cellStyle name="20% - Accent4 2 2 2 2" xfId="489" xr:uid="{00000000-0005-0000-0000-00001F020000}"/>
    <cellStyle name="20% - Accent4 2 2 2 2 2" xfId="887" xr:uid="{00000000-0005-0000-0000-000020020000}"/>
    <cellStyle name="20% - Accent4 2 2 2 2 2 2" xfId="1685" xr:uid="{00000000-0005-0000-0000-000021020000}"/>
    <cellStyle name="20% - Accent4 2 2 2 2 2 2 2" xfId="3281" xr:uid="{00000000-0005-0000-0000-000022020000}"/>
    <cellStyle name="20% - Accent4 2 2 2 2 2 3" xfId="2483" xr:uid="{00000000-0005-0000-0000-000023020000}"/>
    <cellStyle name="20% - Accent4 2 2 2 2 3" xfId="1286" xr:uid="{00000000-0005-0000-0000-000024020000}"/>
    <cellStyle name="20% - Accent4 2 2 2 2 3 2" xfId="2882" xr:uid="{00000000-0005-0000-0000-000025020000}"/>
    <cellStyle name="20% - Accent4 2 2 2 2 4" xfId="2084" xr:uid="{00000000-0005-0000-0000-000026020000}"/>
    <cellStyle name="20% - Accent4 2 2 2 3" xfId="688" xr:uid="{00000000-0005-0000-0000-000027020000}"/>
    <cellStyle name="20% - Accent4 2 2 2 3 2" xfId="1485" xr:uid="{00000000-0005-0000-0000-000028020000}"/>
    <cellStyle name="20% - Accent4 2 2 2 3 2 2" xfId="3081" xr:uid="{00000000-0005-0000-0000-000029020000}"/>
    <cellStyle name="20% - Accent4 2 2 2 3 3" xfId="2283" xr:uid="{00000000-0005-0000-0000-00002A020000}"/>
    <cellStyle name="20% - Accent4 2 2 2 4" xfId="1086" xr:uid="{00000000-0005-0000-0000-00002B020000}"/>
    <cellStyle name="20% - Accent4 2 2 2 4 2" xfId="2682" xr:uid="{00000000-0005-0000-0000-00002C020000}"/>
    <cellStyle name="20% - Accent4 2 2 2 5" xfId="1884" xr:uid="{00000000-0005-0000-0000-00002D020000}"/>
    <cellStyle name="20% - Accent4 2 2 3" xfId="336" xr:uid="{00000000-0005-0000-0000-00002E020000}"/>
    <cellStyle name="20% - Accent4 2 2 3 2" xfId="490" xr:uid="{00000000-0005-0000-0000-00002F020000}"/>
    <cellStyle name="20% - Accent4 2 2 3 2 2" xfId="888" xr:uid="{00000000-0005-0000-0000-000030020000}"/>
    <cellStyle name="20% - Accent4 2 2 3 2 2 2" xfId="1686" xr:uid="{00000000-0005-0000-0000-000031020000}"/>
    <cellStyle name="20% - Accent4 2 2 3 2 2 2 2" xfId="3282" xr:uid="{00000000-0005-0000-0000-000032020000}"/>
    <cellStyle name="20% - Accent4 2 2 3 2 2 3" xfId="2484" xr:uid="{00000000-0005-0000-0000-000033020000}"/>
    <cellStyle name="20% - Accent4 2 2 3 2 3" xfId="1287" xr:uid="{00000000-0005-0000-0000-000034020000}"/>
    <cellStyle name="20% - Accent4 2 2 3 2 3 2" xfId="2883" xr:uid="{00000000-0005-0000-0000-000035020000}"/>
    <cellStyle name="20% - Accent4 2 2 3 2 4" xfId="2085" xr:uid="{00000000-0005-0000-0000-000036020000}"/>
    <cellStyle name="20% - Accent4 2 2 3 3" xfId="689" xr:uid="{00000000-0005-0000-0000-000037020000}"/>
    <cellStyle name="20% - Accent4 2 2 3 3 2" xfId="1486" xr:uid="{00000000-0005-0000-0000-000038020000}"/>
    <cellStyle name="20% - Accent4 2 2 3 3 2 2" xfId="3082" xr:uid="{00000000-0005-0000-0000-000039020000}"/>
    <cellStyle name="20% - Accent4 2 2 3 3 3" xfId="2284" xr:uid="{00000000-0005-0000-0000-00003A020000}"/>
    <cellStyle name="20% - Accent4 2 2 3 4" xfId="1087" xr:uid="{00000000-0005-0000-0000-00003B020000}"/>
    <cellStyle name="20% - Accent4 2 2 3 4 2" xfId="2683" xr:uid="{00000000-0005-0000-0000-00003C020000}"/>
    <cellStyle name="20% - Accent4 2 2 3 5" xfId="1885" xr:uid="{00000000-0005-0000-0000-00003D020000}"/>
    <cellStyle name="20% - Accent4 2 2 4" xfId="488" xr:uid="{00000000-0005-0000-0000-00003E020000}"/>
    <cellStyle name="20% - Accent4 2 2 4 2" xfId="886" xr:uid="{00000000-0005-0000-0000-00003F020000}"/>
    <cellStyle name="20% - Accent4 2 2 4 2 2" xfId="1684" xr:uid="{00000000-0005-0000-0000-000040020000}"/>
    <cellStyle name="20% - Accent4 2 2 4 2 2 2" xfId="3280" xr:uid="{00000000-0005-0000-0000-000041020000}"/>
    <cellStyle name="20% - Accent4 2 2 4 2 3" xfId="2482" xr:uid="{00000000-0005-0000-0000-000042020000}"/>
    <cellStyle name="20% - Accent4 2 2 4 3" xfId="1285" xr:uid="{00000000-0005-0000-0000-000043020000}"/>
    <cellStyle name="20% - Accent4 2 2 4 3 2" xfId="2881" xr:uid="{00000000-0005-0000-0000-000044020000}"/>
    <cellStyle name="20% - Accent4 2 2 4 4" xfId="2083" xr:uid="{00000000-0005-0000-0000-000045020000}"/>
    <cellStyle name="20% - Accent4 2 2 5" xfId="687" xr:uid="{00000000-0005-0000-0000-000046020000}"/>
    <cellStyle name="20% - Accent4 2 2 5 2" xfId="1484" xr:uid="{00000000-0005-0000-0000-000047020000}"/>
    <cellStyle name="20% - Accent4 2 2 5 2 2" xfId="3080" xr:uid="{00000000-0005-0000-0000-000048020000}"/>
    <cellStyle name="20% - Accent4 2 2 5 3" xfId="2282" xr:uid="{00000000-0005-0000-0000-000049020000}"/>
    <cellStyle name="20% - Accent4 2 2 6" xfId="1085" xr:uid="{00000000-0005-0000-0000-00004A020000}"/>
    <cellStyle name="20% - Accent4 2 2 6 2" xfId="2681" xr:uid="{00000000-0005-0000-0000-00004B020000}"/>
    <cellStyle name="20% - Accent4 2 2 7" xfId="1883" xr:uid="{00000000-0005-0000-0000-00004C020000}"/>
    <cellStyle name="20% - Accent4 2 2 8" xfId="334" xr:uid="{00000000-0005-0000-0000-00004D020000}"/>
    <cellStyle name="20% - Accent4 2 3" xfId="230" xr:uid="{00000000-0005-0000-0000-00004E020000}"/>
    <cellStyle name="20% - Accent4 2 3 2" xfId="491" xr:uid="{00000000-0005-0000-0000-00004F020000}"/>
    <cellStyle name="20% - Accent4 2 3 2 2" xfId="889" xr:uid="{00000000-0005-0000-0000-000050020000}"/>
    <cellStyle name="20% - Accent4 2 3 2 2 2" xfId="1687" xr:uid="{00000000-0005-0000-0000-000051020000}"/>
    <cellStyle name="20% - Accent4 2 3 2 2 2 2" xfId="3283" xr:uid="{00000000-0005-0000-0000-000052020000}"/>
    <cellStyle name="20% - Accent4 2 3 2 2 3" xfId="2485" xr:uid="{00000000-0005-0000-0000-000053020000}"/>
    <cellStyle name="20% - Accent4 2 3 2 3" xfId="1288" xr:uid="{00000000-0005-0000-0000-000054020000}"/>
    <cellStyle name="20% - Accent4 2 3 2 3 2" xfId="2884" xr:uid="{00000000-0005-0000-0000-000055020000}"/>
    <cellStyle name="20% - Accent4 2 3 2 4" xfId="2086" xr:uid="{00000000-0005-0000-0000-000056020000}"/>
    <cellStyle name="20% - Accent4 2 3 3" xfId="690" xr:uid="{00000000-0005-0000-0000-000057020000}"/>
    <cellStyle name="20% - Accent4 2 3 3 2" xfId="1487" xr:uid="{00000000-0005-0000-0000-000058020000}"/>
    <cellStyle name="20% - Accent4 2 3 3 2 2" xfId="3083" xr:uid="{00000000-0005-0000-0000-000059020000}"/>
    <cellStyle name="20% - Accent4 2 3 3 3" xfId="2285" xr:uid="{00000000-0005-0000-0000-00005A020000}"/>
    <cellStyle name="20% - Accent4 2 3 4" xfId="1088" xr:uid="{00000000-0005-0000-0000-00005B020000}"/>
    <cellStyle name="20% - Accent4 2 3 4 2" xfId="2684" xr:uid="{00000000-0005-0000-0000-00005C020000}"/>
    <cellStyle name="20% - Accent4 2 3 5" xfId="1886" xr:uid="{00000000-0005-0000-0000-00005D020000}"/>
    <cellStyle name="20% - Accent4 2 3 6" xfId="337" xr:uid="{00000000-0005-0000-0000-00005E020000}"/>
    <cellStyle name="20% - Accent4 2 4" xfId="126" xr:uid="{00000000-0005-0000-0000-00005F020000}"/>
    <cellStyle name="20% - Accent4 2 4 2" xfId="492" xr:uid="{00000000-0005-0000-0000-000060020000}"/>
    <cellStyle name="20% - Accent4 2 4 2 2" xfId="890" xr:uid="{00000000-0005-0000-0000-000061020000}"/>
    <cellStyle name="20% - Accent4 2 4 2 2 2" xfId="1688" xr:uid="{00000000-0005-0000-0000-000062020000}"/>
    <cellStyle name="20% - Accent4 2 4 2 2 2 2" xfId="3284" xr:uid="{00000000-0005-0000-0000-000063020000}"/>
    <cellStyle name="20% - Accent4 2 4 2 2 3" xfId="2486" xr:uid="{00000000-0005-0000-0000-000064020000}"/>
    <cellStyle name="20% - Accent4 2 4 2 3" xfId="1289" xr:uid="{00000000-0005-0000-0000-000065020000}"/>
    <cellStyle name="20% - Accent4 2 4 2 3 2" xfId="2885" xr:uid="{00000000-0005-0000-0000-000066020000}"/>
    <cellStyle name="20% - Accent4 2 4 2 4" xfId="2087" xr:uid="{00000000-0005-0000-0000-000067020000}"/>
    <cellStyle name="20% - Accent4 2 4 3" xfId="691" xr:uid="{00000000-0005-0000-0000-000068020000}"/>
    <cellStyle name="20% - Accent4 2 4 3 2" xfId="1488" xr:uid="{00000000-0005-0000-0000-000069020000}"/>
    <cellStyle name="20% - Accent4 2 4 3 2 2" xfId="3084" xr:uid="{00000000-0005-0000-0000-00006A020000}"/>
    <cellStyle name="20% - Accent4 2 4 3 3" xfId="2286" xr:uid="{00000000-0005-0000-0000-00006B020000}"/>
    <cellStyle name="20% - Accent4 2 4 4" xfId="1089" xr:uid="{00000000-0005-0000-0000-00006C020000}"/>
    <cellStyle name="20% - Accent4 2 4 4 2" xfId="2685" xr:uid="{00000000-0005-0000-0000-00006D020000}"/>
    <cellStyle name="20% - Accent4 2 4 5" xfId="1887" xr:uid="{00000000-0005-0000-0000-00006E020000}"/>
    <cellStyle name="20% - Accent4 2 5" xfId="487" xr:uid="{00000000-0005-0000-0000-00006F020000}"/>
    <cellStyle name="20% - Accent4 2 5 2" xfId="885" xr:uid="{00000000-0005-0000-0000-000070020000}"/>
    <cellStyle name="20% - Accent4 2 5 2 2" xfId="1683" xr:uid="{00000000-0005-0000-0000-000071020000}"/>
    <cellStyle name="20% - Accent4 2 5 2 2 2" xfId="3279" xr:uid="{00000000-0005-0000-0000-000072020000}"/>
    <cellStyle name="20% - Accent4 2 5 2 3" xfId="2481" xr:uid="{00000000-0005-0000-0000-000073020000}"/>
    <cellStyle name="20% - Accent4 2 5 3" xfId="1284" xr:uid="{00000000-0005-0000-0000-000074020000}"/>
    <cellStyle name="20% - Accent4 2 5 3 2" xfId="2880" xr:uid="{00000000-0005-0000-0000-000075020000}"/>
    <cellStyle name="20% - Accent4 2 5 4" xfId="2082" xr:uid="{00000000-0005-0000-0000-000076020000}"/>
    <cellStyle name="20% - Accent4 2 6" xfId="686" xr:uid="{00000000-0005-0000-0000-000077020000}"/>
    <cellStyle name="20% - Accent4 2 6 2" xfId="1483" xr:uid="{00000000-0005-0000-0000-000078020000}"/>
    <cellStyle name="20% - Accent4 2 6 2 2" xfId="3079" xr:uid="{00000000-0005-0000-0000-000079020000}"/>
    <cellStyle name="20% - Accent4 2 6 3" xfId="2281" xr:uid="{00000000-0005-0000-0000-00007A020000}"/>
    <cellStyle name="20% - Accent4 2 7" xfId="1084" xr:uid="{00000000-0005-0000-0000-00007B020000}"/>
    <cellStyle name="20% - Accent4 2 7 2" xfId="2680" xr:uid="{00000000-0005-0000-0000-00007C020000}"/>
    <cellStyle name="20% - Accent4 2 8" xfId="1882" xr:uid="{00000000-0005-0000-0000-00007D020000}"/>
    <cellStyle name="20% - Accent4 3" xfId="141" xr:uid="{00000000-0005-0000-0000-00007E020000}"/>
    <cellStyle name="20% - Accent4 3 2" xfId="338" xr:uid="{00000000-0005-0000-0000-00007F020000}"/>
    <cellStyle name="20% - Accent4 3 2 2" xfId="494" xr:uid="{00000000-0005-0000-0000-000080020000}"/>
    <cellStyle name="20% - Accent4 3 2 2 2" xfId="892" xr:uid="{00000000-0005-0000-0000-000081020000}"/>
    <cellStyle name="20% - Accent4 3 2 2 2 2" xfId="1690" xr:uid="{00000000-0005-0000-0000-000082020000}"/>
    <cellStyle name="20% - Accent4 3 2 2 2 2 2" xfId="3286" xr:uid="{00000000-0005-0000-0000-000083020000}"/>
    <cellStyle name="20% - Accent4 3 2 2 2 3" xfId="2488" xr:uid="{00000000-0005-0000-0000-000084020000}"/>
    <cellStyle name="20% - Accent4 3 2 2 3" xfId="1291" xr:uid="{00000000-0005-0000-0000-000085020000}"/>
    <cellStyle name="20% - Accent4 3 2 2 3 2" xfId="2887" xr:uid="{00000000-0005-0000-0000-000086020000}"/>
    <cellStyle name="20% - Accent4 3 2 2 4" xfId="2089" xr:uid="{00000000-0005-0000-0000-000087020000}"/>
    <cellStyle name="20% - Accent4 3 2 3" xfId="693" xr:uid="{00000000-0005-0000-0000-000088020000}"/>
    <cellStyle name="20% - Accent4 3 2 3 2" xfId="1490" xr:uid="{00000000-0005-0000-0000-000089020000}"/>
    <cellStyle name="20% - Accent4 3 2 3 2 2" xfId="3086" xr:uid="{00000000-0005-0000-0000-00008A020000}"/>
    <cellStyle name="20% - Accent4 3 2 3 3" xfId="2288" xr:uid="{00000000-0005-0000-0000-00008B020000}"/>
    <cellStyle name="20% - Accent4 3 2 4" xfId="1091" xr:uid="{00000000-0005-0000-0000-00008C020000}"/>
    <cellStyle name="20% - Accent4 3 2 4 2" xfId="2687" xr:uid="{00000000-0005-0000-0000-00008D020000}"/>
    <cellStyle name="20% - Accent4 3 2 5" xfId="1889" xr:uid="{00000000-0005-0000-0000-00008E020000}"/>
    <cellStyle name="20% - Accent4 3 3" xfId="339" xr:uid="{00000000-0005-0000-0000-00008F020000}"/>
    <cellStyle name="20% - Accent4 3 3 2" xfId="495" xr:uid="{00000000-0005-0000-0000-000090020000}"/>
    <cellStyle name="20% - Accent4 3 3 2 2" xfId="893" xr:uid="{00000000-0005-0000-0000-000091020000}"/>
    <cellStyle name="20% - Accent4 3 3 2 2 2" xfId="1691" xr:uid="{00000000-0005-0000-0000-000092020000}"/>
    <cellStyle name="20% - Accent4 3 3 2 2 2 2" xfId="3287" xr:uid="{00000000-0005-0000-0000-000093020000}"/>
    <cellStyle name="20% - Accent4 3 3 2 2 3" xfId="2489" xr:uid="{00000000-0005-0000-0000-000094020000}"/>
    <cellStyle name="20% - Accent4 3 3 2 3" xfId="1292" xr:uid="{00000000-0005-0000-0000-000095020000}"/>
    <cellStyle name="20% - Accent4 3 3 2 3 2" xfId="2888" xr:uid="{00000000-0005-0000-0000-000096020000}"/>
    <cellStyle name="20% - Accent4 3 3 2 4" xfId="2090" xr:uid="{00000000-0005-0000-0000-000097020000}"/>
    <cellStyle name="20% - Accent4 3 3 3" xfId="694" xr:uid="{00000000-0005-0000-0000-000098020000}"/>
    <cellStyle name="20% - Accent4 3 3 3 2" xfId="1491" xr:uid="{00000000-0005-0000-0000-000099020000}"/>
    <cellStyle name="20% - Accent4 3 3 3 2 2" xfId="3087" xr:uid="{00000000-0005-0000-0000-00009A020000}"/>
    <cellStyle name="20% - Accent4 3 3 3 3" xfId="2289" xr:uid="{00000000-0005-0000-0000-00009B020000}"/>
    <cellStyle name="20% - Accent4 3 3 4" xfId="1092" xr:uid="{00000000-0005-0000-0000-00009C020000}"/>
    <cellStyle name="20% - Accent4 3 3 4 2" xfId="2688" xr:uid="{00000000-0005-0000-0000-00009D020000}"/>
    <cellStyle name="20% - Accent4 3 3 5" xfId="1890" xr:uid="{00000000-0005-0000-0000-00009E020000}"/>
    <cellStyle name="20% - Accent4 3 4" xfId="493" xr:uid="{00000000-0005-0000-0000-00009F020000}"/>
    <cellStyle name="20% - Accent4 3 4 2" xfId="891" xr:uid="{00000000-0005-0000-0000-0000A0020000}"/>
    <cellStyle name="20% - Accent4 3 4 2 2" xfId="1689" xr:uid="{00000000-0005-0000-0000-0000A1020000}"/>
    <cellStyle name="20% - Accent4 3 4 2 2 2" xfId="3285" xr:uid="{00000000-0005-0000-0000-0000A2020000}"/>
    <cellStyle name="20% - Accent4 3 4 2 3" xfId="2487" xr:uid="{00000000-0005-0000-0000-0000A3020000}"/>
    <cellStyle name="20% - Accent4 3 4 3" xfId="1290" xr:uid="{00000000-0005-0000-0000-0000A4020000}"/>
    <cellStyle name="20% - Accent4 3 4 3 2" xfId="2886" xr:uid="{00000000-0005-0000-0000-0000A5020000}"/>
    <cellStyle name="20% - Accent4 3 4 4" xfId="2088" xr:uid="{00000000-0005-0000-0000-0000A6020000}"/>
    <cellStyle name="20% - Accent4 3 5" xfId="692" xr:uid="{00000000-0005-0000-0000-0000A7020000}"/>
    <cellStyle name="20% - Accent4 3 5 2" xfId="1489" xr:uid="{00000000-0005-0000-0000-0000A8020000}"/>
    <cellStyle name="20% - Accent4 3 5 2 2" xfId="3085" xr:uid="{00000000-0005-0000-0000-0000A9020000}"/>
    <cellStyle name="20% - Accent4 3 5 3" xfId="2287" xr:uid="{00000000-0005-0000-0000-0000AA020000}"/>
    <cellStyle name="20% - Accent4 3 6" xfId="1090" xr:uid="{00000000-0005-0000-0000-0000AB020000}"/>
    <cellStyle name="20% - Accent4 3 6 2" xfId="2686" xr:uid="{00000000-0005-0000-0000-0000AC020000}"/>
    <cellStyle name="20% - Accent4 3 7" xfId="1888" xr:uid="{00000000-0005-0000-0000-0000AD020000}"/>
    <cellStyle name="20% - Accent4 4" xfId="155" xr:uid="{00000000-0005-0000-0000-0000AE020000}"/>
    <cellStyle name="20% - Accent4 4 2" xfId="496" xr:uid="{00000000-0005-0000-0000-0000AF020000}"/>
    <cellStyle name="20% - Accent4 4 2 2" xfId="894" xr:uid="{00000000-0005-0000-0000-0000B0020000}"/>
    <cellStyle name="20% - Accent4 4 2 2 2" xfId="1692" xr:uid="{00000000-0005-0000-0000-0000B1020000}"/>
    <cellStyle name="20% - Accent4 4 2 2 2 2" xfId="3288" xr:uid="{00000000-0005-0000-0000-0000B2020000}"/>
    <cellStyle name="20% - Accent4 4 2 2 3" xfId="2490" xr:uid="{00000000-0005-0000-0000-0000B3020000}"/>
    <cellStyle name="20% - Accent4 4 2 3" xfId="1293" xr:uid="{00000000-0005-0000-0000-0000B4020000}"/>
    <cellStyle name="20% - Accent4 4 2 3 2" xfId="2889" xr:uid="{00000000-0005-0000-0000-0000B5020000}"/>
    <cellStyle name="20% - Accent4 4 2 4" xfId="2091" xr:uid="{00000000-0005-0000-0000-0000B6020000}"/>
    <cellStyle name="20% - Accent4 4 3" xfId="695" xr:uid="{00000000-0005-0000-0000-0000B7020000}"/>
    <cellStyle name="20% - Accent4 4 3 2" xfId="1492" xr:uid="{00000000-0005-0000-0000-0000B8020000}"/>
    <cellStyle name="20% - Accent4 4 3 2 2" xfId="3088" xr:uid="{00000000-0005-0000-0000-0000B9020000}"/>
    <cellStyle name="20% - Accent4 4 3 3" xfId="2290" xr:uid="{00000000-0005-0000-0000-0000BA020000}"/>
    <cellStyle name="20% - Accent4 4 4" xfId="1093" xr:uid="{00000000-0005-0000-0000-0000BB020000}"/>
    <cellStyle name="20% - Accent4 4 4 2" xfId="2689" xr:uid="{00000000-0005-0000-0000-0000BC020000}"/>
    <cellStyle name="20% - Accent4 4 5" xfId="1891" xr:uid="{00000000-0005-0000-0000-0000BD020000}"/>
    <cellStyle name="20% - Accent4 5" xfId="340" xr:uid="{00000000-0005-0000-0000-0000BE020000}"/>
    <cellStyle name="20% - Accent4 5 2" xfId="497" xr:uid="{00000000-0005-0000-0000-0000BF020000}"/>
    <cellStyle name="20% - Accent4 5 2 2" xfId="895" xr:uid="{00000000-0005-0000-0000-0000C0020000}"/>
    <cellStyle name="20% - Accent4 5 2 2 2" xfId="1693" xr:uid="{00000000-0005-0000-0000-0000C1020000}"/>
    <cellStyle name="20% - Accent4 5 2 2 2 2" xfId="3289" xr:uid="{00000000-0005-0000-0000-0000C2020000}"/>
    <cellStyle name="20% - Accent4 5 2 2 3" xfId="2491" xr:uid="{00000000-0005-0000-0000-0000C3020000}"/>
    <cellStyle name="20% - Accent4 5 2 3" xfId="1294" xr:uid="{00000000-0005-0000-0000-0000C4020000}"/>
    <cellStyle name="20% - Accent4 5 2 3 2" xfId="2890" xr:uid="{00000000-0005-0000-0000-0000C5020000}"/>
    <cellStyle name="20% - Accent4 5 2 4" xfId="2092" xr:uid="{00000000-0005-0000-0000-0000C6020000}"/>
    <cellStyle name="20% - Accent4 5 3" xfId="696" xr:uid="{00000000-0005-0000-0000-0000C7020000}"/>
    <cellStyle name="20% - Accent4 5 3 2" xfId="1493" xr:uid="{00000000-0005-0000-0000-0000C8020000}"/>
    <cellStyle name="20% - Accent4 5 3 2 2" xfId="3089" xr:uid="{00000000-0005-0000-0000-0000C9020000}"/>
    <cellStyle name="20% - Accent4 5 3 3" xfId="2291" xr:uid="{00000000-0005-0000-0000-0000CA020000}"/>
    <cellStyle name="20% - Accent4 5 4" xfId="1094" xr:uid="{00000000-0005-0000-0000-0000CB020000}"/>
    <cellStyle name="20% - Accent4 5 4 2" xfId="2690" xr:uid="{00000000-0005-0000-0000-0000CC020000}"/>
    <cellStyle name="20% - Accent4 5 5" xfId="1892" xr:uid="{00000000-0005-0000-0000-0000CD020000}"/>
    <cellStyle name="20% - Accent4 6" xfId="291" xr:uid="{00000000-0005-0000-0000-0000CE020000}"/>
    <cellStyle name="20% - Accent5" xfId="41" builtinId="46" customBuiltin="1"/>
    <cellStyle name="20% - Accent5 2" xfId="53" xr:uid="{00000000-0005-0000-0000-0000D0020000}"/>
    <cellStyle name="20% - Accent5 2 2" xfId="176" xr:uid="{00000000-0005-0000-0000-0000D1020000}"/>
    <cellStyle name="20% - Accent5 2 2 2" xfId="342" xr:uid="{00000000-0005-0000-0000-0000D2020000}"/>
    <cellStyle name="20% - Accent5 2 2 2 2" xfId="500" xr:uid="{00000000-0005-0000-0000-0000D3020000}"/>
    <cellStyle name="20% - Accent5 2 2 2 2 2" xfId="898" xr:uid="{00000000-0005-0000-0000-0000D4020000}"/>
    <cellStyle name="20% - Accent5 2 2 2 2 2 2" xfId="1696" xr:uid="{00000000-0005-0000-0000-0000D5020000}"/>
    <cellStyle name="20% - Accent5 2 2 2 2 2 2 2" xfId="3292" xr:uid="{00000000-0005-0000-0000-0000D6020000}"/>
    <cellStyle name="20% - Accent5 2 2 2 2 2 3" xfId="2494" xr:uid="{00000000-0005-0000-0000-0000D7020000}"/>
    <cellStyle name="20% - Accent5 2 2 2 2 3" xfId="1297" xr:uid="{00000000-0005-0000-0000-0000D8020000}"/>
    <cellStyle name="20% - Accent5 2 2 2 2 3 2" xfId="2893" xr:uid="{00000000-0005-0000-0000-0000D9020000}"/>
    <cellStyle name="20% - Accent5 2 2 2 2 4" xfId="2095" xr:uid="{00000000-0005-0000-0000-0000DA020000}"/>
    <cellStyle name="20% - Accent5 2 2 2 3" xfId="699" xr:uid="{00000000-0005-0000-0000-0000DB020000}"/>
    <cellStyle name="20% - Accent5 2 2 2 3 2" xfId="1496" xr:uid="{00000000-0005-0000-0000-0000DC020000}"/>
    <cellStyle name="20% - Accent5 2 2 2 3 2 2" xfId="3092" xr:uid="{00000000-0005-0000-0000-0000DD020000}"/>
    <cellStyle name="20% - Accent5 2 2 2 3 3" xfId="2294" xr:uid="{00000000-0005-0000-0000-0000DE020000}"/>
    <cellStyle name="20% - Accent5 2 2 2 4" xfId="1097" xr:uid="{00000000-0005-0000-0000-0000DF020000}"/>
    <cellStyle name="20% - Accent5 2 2 2 4 2" xfId="2693" xr:uid="{00000000-0005-0000-0000-0000E0020000}"/>
    <cellStyle name="20% - Accent5 2 2 2 5" xfId="1895" xr:uid="{00000000-0005-0000-0000-0000E1020000}"/>
    <cellStyle name="20% - Accent5 2 2 3" xfId="343" xr:uid="{00000000-0005-0000-0000-0000E2020000}"/>
    <cellStyle name="20% - Accent5 2 2 3 2" xfId="501" xr:uid="{00000000-0005-0000-0000-0000E3020000}"/>
    <cellStyle name="20% - Accent5 2 2 3 2 2" xfId="899" xr:uid="{00000000-0005-0000-0000-0000E4020000}"/>
    <cellStyle name="20% - Accent5 2 2 3 2 2 2" xfId="1697" xr:uid="{00000000-0005-0000-0000-0000E5020000}"/>
    <cellStyle name="20% - Accent5 2 2 3 2 2 2 2" xfId="3293" xr:uid="{00000000-0005-0000-0000-0000E6020000}"/>
    <cellStyle name="20% - Accent5 2 2 3 2 2 3" xfId="2495" xr:uid="{00000000-0005-0000-0000-0000E7020000}"/>
    <cellStyle name="20% - Accent5 2 2 3 2 3" xfId="1298" xr:uid="{00000000-0005-0000-0000-0000E8020000}"/>
    <cellStyle name="20% - Accent5 2 2 3 2 3 2" xfId="2894" xr:uid="{00000000-0005-0000-0000-0000E9020000}"/>
    <cellStyle name="20% - Accent5 2 2 3 2 4" xfId="2096" xr:uid="{00000000-0005-0000-0000-0000EA020000}"/>
    <cellStyle name="20% - Accent5 2 2 3 3" xfId="700" xr:uid="{00000000-0005-0000-0000-0000EB020000}"/>
    <cellStyle name="20% - Accent5 2 2 3 3 2" xfId="1497" xr:uid="{00000000-0005-0000-0000-0000EC020000}"/>
    <cellStyle name="20% - Accent5 2 2 3 3 2 2" xfId="3093" xr:uid="{00000000-0005-0000-0000-0000ED020000}"/>
    <cellStyle name="20% - Accent5 2 2 3 3 3" xfId="2295" xr:uid="{00000000-0005-0000-0000-0000EE020000}"/>
    <cellStyle name="20% - Accent5 2 2 3 4" xfId="1098" xr:uid="{00000000-0005-0000-0000-0000EF020000}"/>
    <cellStyle name="20% - Accent5 2 2 3 4 2" xfId="2694" xr:uid="{00000000-0005-0000-0000-0000F0020000}"/>
    <cellStyle name="20% - Accent5 2 2 3 5" xfId="1896" xr:uid="{00000000-0005-0000-0000-0000F1020000}"/>
    <cellStyle name="20% - Accent5 2 2 4" xfId="499" xr:uid="{00000000-0005-0000-0000-0000F2020000}"/>
    <cellStyle name="20% - Accent5 2 2 4 2" xfId="897" xr:uid="{00000000-0005-0000-0000-0000F3020000}"/>
    <cellStyle name="20% - Accent5 2 2 4 2 2" xfId="1695" xr:uid="{00000000-0005-0000-0000-0000F4020000}"/>
    <cellStyle name="20% - Accent5 2 2 4 2 2 2" xfId="3291" xr:uid="{00000000-0005-0000-0000-0000F5020000}"/>
    <cellStyle name="20% - Accent5 2 2 4 2 3" xfId="2493" xr:uid="{00000000-0005-0000-0000-0000F6020000}"/>
    <cellStyle name="20% - Accent5 2 2 4 3" xfId="1296" xr:uid="{00000000-0005-0000-0000-0000F7020000}"/>
    <cellStyle name="20% - Accent5 2 2 4 3 2" xfId="2892" xr:uid="{00000000-0005-0000-0000-0000F8020000}"/>
    <cellStyle name="20% - Accent5 2 2 4 4" xfId="2094" xr:uid="{00000000-0005-0000-0000-0000F9020000}"/>
    <cellStyle name="20% - Accent5 2 2 5" xfId="698" xr:uid="{00000000-0005-0000-0000-0000FA020000}"/>
    <cellStyle name="20% - Accent5 2 2 5 2" xfId="1495" xr:uid="{00000000-0005-0000-0000-0000FB020000}"/>
    <cellStyle name="20% - Accent5 2 2 5 2 2" xfId="3091" xr:uid="{00000000-0005-0000-0000-0000FC020000}"/>
    <cellStyle name="20% - Accent5 2 2 5 3" xfId="2293" xr:uid="{00000000-0005-0000-0000-0000FD020000}"/>
    <cellStyle name="20% - Accent5 2 2 6" xfId="1096" xr:uid="{00000000-0005-0000-0000-0000FE020000}"/>
    <cellStyle name="20% - Accent5 2 2 6 2" xfId="2692" xr:uid="{00000000-0005-0000-0000-0000FF020000}"/>
    <cellStyle name="20% - Accent5 2 2 7" xfId="1894" xr:uid="{00000000-0005-0000-0000-000000030000}"/>
    <cellStyle name="20% - Accent5 2 2 8" xfId="341" xr:uid="{00000000-0005-0000-0000-000001030000}"/>
    <cellStyle name="20% - Accent5 2 3" xfId="229" xr:uid="{00000000-0005-0000-0000-000002030000}"/>
    <cellStyle name="20% - Accent5 2 3 2" xfId="502" xr:uid="{00000000-0005-0000-0000-000003030000}"/>
    <cellStyle name="20% - Accent5 2 3 2 2" xfId="900" xr:uid="{00000000-0005-0000-0000-000004030000}"/>
    <cellStyle name="20% - Accent5 2 3 2 2 2" xfId="1698" xr:uid="{00000000-0005-0000-0000-000005030000}"/>
    <cellStyle name="20% - Accent5 2 3 2 2 2 2" xfId="3294" xr:uid="{00000000-0005-0000-0000-000006030000}"/>
    <cellStyle name="20% - Accent5 2 3 2 2 3" xfId="2496" xr:uid="{00000000-0005-0000-0000-000007030000}"/>
    <cellStyle name="20% - Accent5 2 3 2 3" xfId="1299" xr:uid="{00000000-0005-0000-0000-000008030000}"/>
    <cellStyle name="20% - Accent5 2 3 2 3 2" xfId="2895" xr:uid="{00000000-0005-0000-0000-000009030000}"/>
    <cellStyle name="20% - Accent5 2 3 2 4" xfId="2097" xr:uid="{00000000-0005-0000-0000-00000A030000}"/>
    <cellStyle name="20% - Accent5 2 3 3" xfId="701" xr:uid="{00000000-0005-0000-0000-00000B030000}"/>
    <cellStyle name="20% - Accent5 2 3 3 2" xfId="1498" xr:uid="{00000000-0005-0000-0000-00000C030000}"/>
    <cellStyle name="20% - Accent5 2 3 3 2 2" xfId="3094" xr:uid="{00000000-0005-0000-0000-00000D030000}"/>
    <cellStyle name="20% - Accent5 2 3 3 3" xfId="2296" xr:uid="{00000000-0005-0000-0000-00000E030000}"/>
    <cellStyle name="20% - Accent5 2 3 4" xfId="1099" xr:uid="{00000000-0005-0000-0000-00000F030000}"/>
    <cellStyle name="20% - Accent5 2 3 4 2" xfId="2695" xr:uid="{00000000-0005-0000-0000-000010030000}"/>
    <cellStyle name="20% - Accent5 2 3 5" xfId="1897" xr:uid="{00000000-0005-0000-0000-000011030000}"/>
    <cellStyle name="20% - Accent5 2 3 6" xfId="344" xr:uid="{00000000-0005-0000-0000-000012030000}"/>
    <cellStyle name="20% - Accent5 2 4" xfId="128" xr:uid="{00000000-0005-0000-0000-000013030000}"/>
    <cellStyle name="20% - Accent5 2 4 2" xfId="503" xr:uid="{00000000-0005-0000-0000-000014030000}"/>
    <cellStyle name="20% - Accent5 2 4 2 2" xfId="901" xr:uid="{00000000-0005-0000-0000-000015030000}"/>
    <cellStyle name="20% - Accent5 2 4 2 2 2" xfId="1699" xr:uid="{00000000-0005-0000-0000-000016030000}"/>
    <cellStyle name="20% - Accent5 2 4 2 2 2 2" xfId="3295" xr:uid="{00000000-0005-0000-0000-000017030000}"/>
    <cellStyle name="20% - Accent5 2 4 2 2 3" xfId="2497" xr:uid="{00000000-0005-0000-0000-000018030000}"/>
    <cellStyle name="20% - Accent5 2 4 2 3" xfId="1300" xr:uid="{00000000-0005-0000-0000-000019030000}"/>
    <cellStyle name="20% - Accent5 2 4 2 3 2" xfId="2896" xr:uid="{00000000-0005-0000-0000-00001A030000}"/>
    <cellStyle name="20% - Accent5 2 4 2 4" xfId="2098" xr:uid="{00000000-0005-0000-0000-00001B030000}"/>
    <cellStyle name="20% - Accent5 2 4 3" xfId="702" xr:uid="{00000000-0005-0000-0000-00001C030000}"/>
    <cellStyle name="20% - Accent5 2 4 3 2" xfId="1499" xr:uid="{00000000-0005-0000-0000-00001D030000}"/>
    <cellStyle name="20% - Accent5 2 4 3 2 2" xfId="3095" xr:uid="{00000000-0005-0000-0000-00001E030000}"/>
    <cellStyle name="20% - Accent5 2 4 3 3" xfId="2297" xr:uid="{00000000-0005-0000-0000-00001F030000}"/>
    <cellStyle name="20% - Accent5 2 4 4" xfId="1100" xr:uid="{00000000-0005-0000-0000-000020030000}"/>
    <cellStyle name="20% - Accent5 2 4 4 2" xfId="2696" xr:uid="{00000000-0005-0000-0000-000021030000}"/>
    <cellStyle name="20% - Accent5 2 4 5" xfId="1898" xr:uid="{00000000-0005-0000-0000-000022030000}"/>
    <cellStyle name="20% - Accent5 2 5" xfId="498" xr:uid="{00000000-0005-0000-0000-000023030000}"/>
    <cellStyle name="20% - Accent5 2 5 2" xfId="896" xr:uid="{00000000-0005-0000-0000-000024030000}"/>
    <cellStyle name="20% - Accent5 2 5 2 2" xfId="1694" xr:uid="{00000000-0005-0000-0000-000025030000}"/>
    <cellStyle name="20% - Accent5 2 5 2 2 2" xfId="3290" xr:uid="{00000000-0005-0000-0000-000026030000}"/>
    <cellStyle name="20% - Accent5 2 5 2 3" xfId="2492" xr:uid="{00000000-0005-0000-0000-000027030000}"/>
    <cellStyle name="20% - Accent5 2 5 3" xfId="1295" xr:uid="{00000000-0005-0000-0000-000028030000}"/>
    <cellStyle name="20% - Accent5 2 5 3 2" xfId="2891" xr:uid="{00000000-0005-0000-0000-000029030000}"/>
    <cellStyle name="20% - Accent5 2 5 4" xfId="2093" xr:uid="{00000000-0005-0000-0000-00002A030000}"/>
    <cellStyle name="20% - Accent5 2 6" xfId="697" xr:uid="{00000000-0005-0000-0000-00002B030000}"/>
    <cellStyle name="20% - Accent5 2 6 2" xfId="1494" xr:uid="{00000000-0005-0000-0000-00002C030000}"/>
    <cellStyle name="20% - Accent5 2 6 2 2" xfId="3090" xr:uid="{00000000-0005-0000-0000-00002D030000}"/>
    <cellStyle name="20% - Accent5 2 6 3" xfId="2292" xr:uid="{00000000-0005-0000-0000-00002E030000}"/>
    <cellStyle name="20% - Accent5 2 7" xfId="1095" xr:uid="{00000000-0005-0000-0000-00002F030000}"/>
    <cellStyle name="20% - Accent5 2 7 2" xfId="2691" xr:uid="{00000000-0005-0000-0000-000030030000}"/>
    <cellStyle name="20% - Accent5 2 8" xfId="1893" xr:uid="{00000000-0005-0000-0000-000031030000}"/>
    <cellStyle name="20% - Accent5 3" xfId="143" xr:uid="{00000000-0005-0000-0000-000032030000}"/>
    <cellStyle name="20% - Accent5 3 2" xfId="345" xr:uid="{00000000-0005-0000-0000-000033030000}"/>
    <cellStyle name="20% - Accent5 3 2 2" xfId="505" xr:uid="{00000000-0005-0000-0000-000034030000}"/>
    <cellStyle name="20% - Accent5 3 2 2 2" xfId="903" xr:uid="{00000000-0005-0000-0000-000035030000}"/>
    <cellStyle name="20% - Accent5 3 2 2 2 2" xfId="1701" xr:uid="{00000000-0005-0000-0000-000036030000}"/>
    <cellStyle name="20% - Accent5 3 2 2 2 2 2" xfId="3297" xr:uid="{00000000-0005-0000-0000-000037030000}"/>
    <cellStyle name="20% - Accent5 3 2 2 2 3" xfId="2499" xr:uid="{00000000-0005-0000-0000-000038030000}"/>
    <cellStyle name="20% - Accent5 3 2 2 3" xfId="1302" xr:uid="{00000000-0005-0000-0000-000039030000}"/>
    <cellStyle name="20% - Accent5 3 2 2 3 2" xfId="2898" xr:uid="{00000000-0005-0000-0000-00003A030000}"/>
    <cellStyle name="20% - Accent5 3 2 2 4" xfId="2100" xr:uid="{00000000-0005-0000-0000-00003B030000}"/>
    <cellStyle name="20% - Accent5 3 2 3" xfId="704" xr:uid="{00000000-0005-0000-0000-00003C030000}"/>
    <cellStyle name="20% - Accent5 3 2 3 2" xfId="1501" xr:uid="{00000000-0005-0000-0000-00003D030000}"/>
    <cellStyle name="20% - Accent5 3 2 3 2 2" xfId="3097" xr:uid="{00000000-0005-0000-0000-00003E030000}"/>
    <cellStyle name="20% - Accent5 3 2 3 3" xfId="2299" xr:uid="{00000000-0005-0000-0000-00003F030000}"/>
    <cellStyle name="20% - Accent5 3 2 4" xfId="1102" xr:uid="{00000000-0005-0000-0000-000040030000}"/>
    <cellStyle name="20% - Accent5 3 2 4 2" xfId="2698" xr:uid="{00000000-0005-0000-0000-000041030000}"/>
    <cellStyle name="20% - Accent5 3 2 5" xfId="1900" xr:uid="{00000000-0005-0000-0000-000042030000}"/>
    <cellStyle name="20% - Accent5 3 3" xfId="346" xr:uid="{00000000-0005-0000-0000-000043030000}"/>
    <cellStyle name="20% - Accent5 3 3 2" xfId="506" xr:uid="{00000000-0005-0000-0000-000044030000}"/>
    <cellStyle name="20% - Accent5 3 3 2 2" xfId="904" xr:uid="{00000000-0005-0000-0000-000045030000}"/>
    <cellStyle name="20% - Accent5 3 3 2 2 2" xfId="1702" xr:uid="{00000000-0005-0000-0000-000046030000}"/>
    <cellStyle name="20% - Accent5 3 3 2 2 2 2" xfId="3298" xr:uid="{00000000-0005-0000-0000-000047030000}"/>
    <cellStyle name="20% - Accent5 3 3 2 2 3" xfId="2500" xr:uid="{00000000-0005-0000-0000-000048030000}"/>
    <cellStyle name="20% - Accent5 3 3 2 3" xfId="1303" xr:uid="{00000000-0005-0000-0000-000049030000}"/>
    <cellStyle name="20% - Accent5 3 3 2 3 2" xfId="2899" xr:uid="{00000000-0005-0000-0000-00004A030000}"/>
    <cellStyle name="20% - Accent5 3 3 2 4" xfId="2101" xr:uid="{00000000-0005-0000-0000-00004B030000}"/>
    <cellStyle name="20% - Accent5 3 3 3" xfId="705" xr:uid="{00000000-0005-0000-0000-00004C030000}"/>
    <cellStyle name="20% - Accent5 3 3 3 2" xfId="1502" xr:uid="{00000000-0005-0000-0000-00004D030000}"/>
    <cellStyle name="20% - Accent5 3 3 3 2 2" xfId="3098" xr:uid="{00000000-0005-0000-0000-00004E030000}"/>
    <cellStyle name="20% - Accent5 3 3 3 3" xfId="2300" xr:uid="{00000000-0005-0000-0000-00004F030000}"/>
    <cellStyle name="20% - Accent5 3 3 4" xfId="1103" xr:uid="{00000000-0005-0000-0000-000050030000}"/>
    <cellStyle name="20% - Accent5 3 3 4 2" xfId="2699" xr:uid="{00000000-0005-0000-0000-000051030000}"/>
    <cellStyle name="20% - Accent5 3 3 5" xfId="1901" xr:uid="{00000000-0005-0000-0000-000052030000}"/>
    <cellStyle name="20% - Accent5 3 4" xfId="504" xr:uid="{00000000-0005-0000-0000-000053030000}"/>
    <cellStyle name="20% - Accent5 3 4 2" xfId="902" xr:uid="{00000000-0005-0000-0000-000054030000}"/>
    <cellStyle name="20% - Accent5 3 4 2 2" xfId="1700" xr:uid="{00000000-0005-0000-0000-000055030000}"/>
    <cellStyle name="20% - Accent5 3 4 2 2 2" xfId="3296" xr:uid="{00000000-0005-0000-0000-000056030000}"/>
    <cellStyle name="20% - Accent5 3 4 2 3" xfId="2498" xr:uid="{00000000-0005-0000-0000-000057030000}"/>
    <cellStyle name="20% - Accent5 3 4 3" xfId="1301" xr:uid="{00000000-0005-0000-0000-000058030000}"/>
    <cellStyle name="20% - Accent5 3 4 3 2" xfId="2897" xr:uid="{00000000-0005-0000-0000-000059030000}"/>
    <cellStyle name="20% - Accent5 3 4 4" xfId="2099" xr:uid="{00000000-0005-0000-0000-00005A030000}"/>
    <cellStyle name="20% - Accent5 3 5" xfId="703" xr:uid="{00000000-0005-0000-0000-00005B030000}"/>
    <cellStyle name="20% - Accent5 3 5 2" xfId="1500" xr:uid="{00000000-0005-0000-0000-00005C030000}"/>
    <cellStyle name="20% - Accent5 3 5 2 2" xfId="3096" xr:uid="{00000000-0005-0000-0000-00005D030000}"/>
    <cellStyle name="20% - Accent5 3 5 3" xfId="2298" xr:uid="{00000000-0005-0000-0000-00005E030000}"/>
    <cellStyle name="20% - Accent5 3 6" xfId="1101" xr:uid="{00000000-0005-0000-0000-00005F030000}"/>
    <cellStyle name="20% - Accent5 3 6 2" xfId="2697" xr:uid="{00000000-0005-0000-0000-000060030000}"/>
    <cellStyle name="20% - Accent5 3 7" xfId="1899" xr:uid="{00000000-0005-0000-0000-000061030000}"/>
    <cellStyle name="20% - Accent5 4" xfId="157" xr:uid="{00000000-0005-0000-0000-000062030000}"/>
    <cellStyle name="20% - Accent5 4 2" xfId="507" xr:uid="{00000000-0005-0000-0000-000063030000}"/>
    <cellStyle name="20% - Accent5 4 2 2" xfId="905" xr:uid="{00000000-0005-0000-0000-000064030000}"/>
    <cellStyle name="20% - Accent5 4 2 2 2" xfId="1703" xr:uid="{00000000-0005-0000-0000-000065030000}"/>
    <cellStyle name="20% - Accent5 4 2 2 2 2" xfId="3299" xr:uid="{00000000-0005-0000-0000-000066030000}"/>
    <cellStyle name="20% - Accent5 4 2 2 3" xfId="2501" xr:uid="{00000000-0005-0000-0000-000067030000}"/>
    <cellStyle name="20% - Accent5 4 2 3" xfId="1304" xr:uid="{00000000-0005-0000-0000-000068030000}"/>
    <cellStyle name="20% - Accent5 4 2 3 2" xfId="2900" xr:uid="{00000000-0005-0000-0000-000069030000}"/>
    <cellStyle name="20% - Accent5 4 2 4" xfId="2102" xr:uid="{00000000-0005-0000-0000-00006A030000}"/>
    <cellStyle name="20% - Accent5 4 3" xfId="706" xr:uid="{00000000-0005-0000-0000-00006B030000}"/>
    <cellStyle name="20% - Accent5 4 3 2" xfId="1503" xr:uid="{00000000-0005-0000-0000-00006C030000}"/>
    <cellStyle name="20% - Accent5 4 3 2 2" xfId="3099" xr:uid="{00000000-0005-0000-0000-00006D030000}"/>
    <cellStyle name="20% - Accent5 4 3 3" xfId="2301" xr:uid="{00000000-0005-0000-0000-00006E030000}"/>
    <cellStyle name="20% - Accent5 4 4" xfId="1104" xr:uid="{00000000-0005-0000-0000-00006F030000}"/>
    <cellStyle name="20% - Accent5 4 4 2" xfId="2700" xr:uid="{00000000-0005-0000-0000-000070030000}"/>
    <cellStyle name="20% - Accent5 4 5" xfId="1902" xr:uid="{00000000-0005-0000-0000-000071030000}"/>
    <cellStyle name="20% - Accent5 5" xfId="347" xr:uid="{00000000-0005-0000-0000-000072030000}"/>
    <cellStyle name="20% - Accent5 5 2" xfId="508" xr:uid="{00000000-0005-0000-0000-000073030000}"/>
    <cellStyle name="20% - Accent5 5 2 2" xfId="906" xr:uid="{00000000-0005-0000-0000-000074030000}"/>
    <cellStyle name="20% - Accent5 5 2 2 2" xfId="1704" xr:uid="{00000000-0005-0000-0000-000075030000}"/>
    <cellStyle name="20% - Accent5 5 2 2 2 2" xfId="3300" xr:uid="{00000000-0005-0000-0000-000076030000}"/>
    <cellStyle name="20% - Accent5 5 2 2 3" xfId="2502" xr:uid="{00000000-0005-0000-0000-000077030000}"/>
    <cellStyle name="20% - Accent5 5 2 3" xfId="1305" xr:uid="{00000000-0005-0000-0000-000078030000}"/>
    <cellStyle name="20% - Accent5 5 2 3 2" xfId="2901" xr:uid="{00000000-0005-0000-0000-000079030000}"/>
    <cellStyle name="20% - Accent5 5 2 4" xfId="2103" xr:uid="{00000000-0005-0000-0000-00007A030000}"/>
    <cellStyle name="20% - Accent5 5 3" xfId="707" xr:uid="{00000000-0005-0000-0000-00007B030000}"/>
    <cellStyle name="20% - Accent5 5 3 2" xfId="1504" xr:uid="{00000000-0005-0000-0000-00007C030000}"/>
    <cellStyle name="20% - Accent5 5 3 2 2" xfId="3100" xr:uid="{00000000-0005-0000-0000-00007D030000}"/>
    <cellStyle name="20% - Accent5 5 3 3" xfId="2302" xr:uid="{00000000-0005-0000-0000-00007E030000}"/>
    <cellStyle name="20% - Accent5 5 4" xfId="1105" xr:uid="{00000000-0005-0000-0000-00007F030000}"/>
    <cellStyle name="20% - Accent5 5 4 2" xfId="2701" xr:uid="{00000000-0005-0000-0000-000080030000}"/>
    <cellStyle name="20% - Accent5 5 5" xfId="1903" xr:uid="{00000000-0005-0000-0000-000081030000}"/>
    <cellStyle name="20% - Accent6" xfId="45" builtinId="50" customBuiltin="1"/>
    <cellStyle name="20% - Accent6 2" xfId="54" xr:uid="{00000000-0005-0000-0000-000083030000}"/>
    <cellStyle name="20% - Accent6 2 2" xfId="195" xr:uid="{00000000-0005-0000-0000-000084030000}"/>
    <cellStyle name="20% - Accent6 2 2 2" xfId="349" xr:uid="{00000000-0005-0000-0000-000085030000}"/>
    <cellStyle name="20% - Accent6 2 2 2 2" xfId="511" xr:uid="{00000000-0005-0000-0000-000086030000}"/>
    <cellStyle name="20% - Accent6 2 2 2 2 2" xfId="909" xr:uid="{00000000-0005-0000-0000-000087030000}"/>
    <cellStyle name="20% - Accent6 2 2 2 2 2 2" xfId="1707" xr:uid="{00000000-0005-0000-0000-000088030000}"/>
    <cellStyle name="20% - Accent6 2 2 2 2 2 2 2" xfId="3303" xr:uid="{00000000-0005-0000-0000-000089030000}"/>
    <cellStyle name="20% - Accent6 2 2 2 2 2 3" xfId="2505" xr:uid="{00000000-0005-0000-0000-00008A030000}"/>
    <cellStyle name="20% - Accent6 2 2 2 2 3" xfId="1308" xr:uid="{00000000-0005-0000-0000-00008B030000}"/>
    <cellStyle name="20% - Accent6 2 2 2 2 3 2" xfId="2904" xr:uid="{00000000-0005-0000-0000-00008C030000}"/>
    <cellStyle name="20% - Accent6 2 2 2 2 4" xfId="2106" xr:uid="{00000000-0005-0000-0000-00008D030000}"/>
    <cellStyle name="20% - Accent6 2 2 2 3" xfId="710" xr:uid="{00000000-0005-0000-0000-00008E030000}"/>
    <cellStyle name="20% - Accent6 2 2 2 3 2" xfId="1507" xr:uid="{00000000-0005-0000-0000-00008F030000}"/>
    <cellStyle name="20% - Accent6 2 2 2 3 2 2" xfId="3103" xr:uid="{00000000-0005-0000-0000-000090030000}"/>
    <cellStyle name="20% - Accent6 2 2 2 3 3" xfId="2305" xr:uid="{00000000-0005-0000-0000-000091030000}"/>
    <cellStyle name="20% - Accent6 2 2 2 4" xfId="1108" xr:uid="{00000000-0005-0000-0000-000092030000}"/>
    <cellStyle name="20% - Accent6 2 2 2 4 2" xfId="2704" xr:uid="{00000000-0005-0000-0000-000093030000}"/>
    <cellStyle name="20% - Accent6 2 2 2 5" xfId="1906" xr:uid="{00000000-0005-0000-0000-000094030000}"/>
    <cellStyle name="20% - Accent6 2 2 3" xfId="350" xr:uid="{00000000-0005-0000-0000-000095030000}"/>
    <cellStyle name="20% - Accent6 2 2 3 2" xfId="512" xr:uid="{00000000-0005-0000-0000-000096030000}"/>
    <cellStyle name="20% - Accent6 2 2 3 2 2" xfId="910" xr:uid="{00000000-0005-0000-0000-000097030000}"/>
    <cellStyle name="20% - Accent6 2 2 3 2 2 2" xfId="1708" xr:uid="{00000000-0005-0000-0000-000098030000}"/>
    <cellStyle name="20% - Accent6 2 2 3 2 2 2 2" xfId="3304" xr:uid="{00000000-0005-0000-0000-000099030000}"/>
    <cellStyle name="20% - Accent6 2 2 3 2 2 3" xfId="2506" xr:uid="{00000000-0005-0000-0000-00009A030000}"/>
    <cellStyle name="20% - Accent6 2 2 3 2 3" xfId="1309" xr:uid="{00000000-0005-0000-0000-00009B030000}"/>
    <cellStyle name="20% - Accent6 2 2 3 2 3 2" xfId="2905" xr:uid="{00000000-0005-0000-0000-00009C030000}"/>
    <cellStyle name="20% - Accent6 2 2 3 2 4" xfId="2107" xr:uid="{00000000-0005-0000-0000-00009D030000}"/>
    <cellStyle name="20% - Accent6 2 2 3 3" xfId="711" xr:uid="{00000000-0005-0000-0000-00009E030000}"/>
    <cellStyle name="20% - Accent6 2 2 3 3 2" xfId="1508" xr:uid="{00000000-0005-0000-0000-00009F030000}"/>
    <cellStyle name="20% - Accent6 2 2 3 3 2 2" xfId="3104" xr:uid="{00000000-0005-0000-0000-0000A0030000}"/>
    <cellStyle name="20% - Accent6 2 2 3 3 3" xfId="2306" xr:uid="{00000000-0005-0000-0000-0000A1030000}"/>
    <cellStyle name="20% - Accent6 2 2 3 4" xfId="1109" xr:uid="{00000000-0005-0000-0000-0000A2030000}"/>
    <cellStyle name="20% - Accent6 2 2 3 4 2" xfId="2705" xr:uid="{00000000-0005-0000-0000-0000A3030000}"/>
    <cellStyle name="20% - Accent6 2 2 3 5" xfId="1907" xr:uid="{00000000-0005-0000-0000-0000A4030000}"/>
    <cellStyle name="20% - Accent6 2 2 4" xfId="510" xr:uid="{00000000-0005-0000-0000-0000A5030000}"/>
    <cellStyle name="20% - Accent6 2 2 4 2" xfId="908" xr:uid="{00000000-0005-0000-0000-0000A6030000}"/>
    <cellStyle name="20% - Accent6 2 2 4 2 2" xfId="1706" xr:uid="{00000000-0005-0000-0000-0000A7030000}"/>
    <cellStyle name="20% - Accent6 2 2 4 2 2 2" xfId="3302" xr:uid="{00000000-0005-0000-0000-0000A8030000}"/>
    <cellStyle name="20% - Accent6 2 2 4 2 3" xfId="2504" xr:uid="{00000000-0005-0000-0000-0000A9030000}"/>
    <cellStyle name="20% - Accent6 2 2 4 3" xfId="1307" xr:uid="{00000000-0005-0000-0000-0000AA030000}"/>
    <cellStyle name="20% - Accent6 2 2 4 3 2" xfId="2903" xr:uid="{00000000-0005-0000-0000-0000AB030000}"/>
    <cellStyle name="20% - Accent6 2 2 4 4" xfId="2105" xr:uid="{00000000-0005-0000-0000-0000AC030000}"/>
    <cellStyle name="20% - Accent6 2 2 5" xfId="709" xr:uid="{00000000-0005-0000-0000-0000AD030000}"/>
    <cellStyle name="20% - Accent6 2 2 5 2" xfId="1506" xr:uid="{00000000-0005-0000-0000-0000AE030000}"/>
    <cellStyle name="20% - Accent6 2 2 5 2 2" xfId="3102" xr:uid="{00000000-0005-0000-0000-0000AF030000}"/>
    <cellStyle name="20% - Accent6 2 2 5 3" xfId="2304" xr:uid="{00000000-0005-0000-0000-0000B0030000}"/>
    <cellStyle name="20% - Accent6 2 2 6" xfId="1107" xr:uid="{00000000-0005-0000-0000-0000B1030000}"/>
    <cellStyle name="20% - Accent6 2 2 6 2" xfId="2703" xr:uid="{00000000-0005-0000-0000-0000B2030000}"/>
    <cellStyle name="20% - Accent6 2 2 7" xfId="1905" xr:uid="{00000000-0005-0000-0000-0000B3030000}"/>
    <cellStyle name="20% - Accent6 2 2 8" xfId="348" xr:uid="{00000000-0005-0000-0000-0000B4030000}"/>
    <cellStyle name="20% - Accent6 2 3" xfId="228" xr:uid="{00000000-0005-0000-0000-0000B5030000}"/>
    <cellStyle name="20% - Accent6 2 3 2" xfId="513" xr:uid="{00000000-0005-0000-0000-0000B6030000}"/>
    <cellStyle name="20% - Accent6 2 3 2 2" xfId="911" xr:uid="{00000000-0005-0000-0000-0000B7030000}"/>
    <cellStyle name="20% - Accent6 2 3 2 2 2" xfId="1709" xr:uid="{00000000-0005-0000-0000-0000B8030000}"/>
    <cellStyle name="20% - Accent6 2 3 2 2 2 2" xfId="3305" xr:uid="{00000000-0005-0000-0000-0000B9030000}"/>
    <cellStyle name="20% - Accent6 2 3 2 2 3" xfId="2507" xr:uid="{00000000-0005-0000-0000-0000BA030000}"/>
    <cellStyle name="20% - Accent6 2 3 2 3" xfId="1310" xr:uid="{00000000-0005-0000-0000-0000BB030000}"/>
    <cellStyle name="20% - Accent6 2 3 2 3 2" xfId="2906" xr:uid="{00000000-0005-0000-0000-0000BC030000}"/>
    <cellStyle name="20% - Accent6 2 3 2 4" xfId="2108" xr:uid="{00000000-0005-0000-0000-0000BD030000}"/>
    <cellStyle name="20% - Accent6 2 3 3" xfId="712" xr:uid="{00000000-0005-0000-0000-0000BE030000}"/>
    <cellStyle name="20% - Accent6 2 3 3 2" xfId="1509" xr:uid="{00000000-0005-0000-0000-0000BF030000}"/>
    <cellStyle name="20% - Accent6 2 3 3 2 2" xfId="3105" xr:uid="{00000000-0005-0000-0000-0000C0030000}"/>
    <cellStyle name="20% - Accent6 2 3 3 3" xfId="2307" xr:uid="{00000000-0005-0000-0000-0000C1030000}"/>
    <cellStyle name="20% - Accent6 2 3 4" xfId="1110" xr:uid="{00000000-0005-0000-0000-0000C2030000}"/>
    <cellStyle name="20% - Accent6 2 3 4 2" xfId="2706" xr:uid="{00000000-0005-0000-0000-0000C3030000}"/>
    <cellStyle name="20% - Accent6 2 3 5" xfId="1908" xr:uid="{00000000-0005-0000-0000-0000C4030000}"/>
    <cellStyle name="20% - Accent6 2 3 6" xfId="351" xr:uid="{00000000-0005-0000-0000-0000C5030000}"/>
    <cellStyle name="20% - Accent6 2 4" xfId="130" xr:uid="{00000000-0005-0000-0000-0000C6030000}"/>
    <cellStyle name="20% - Accent6 2 4 2" xfId="514" xr:uid="{00000000-0005-0000-0000-0000C7030000}"/>
    <cellStyle name="20% - Accent6 2 4 2 2" xfId="912" xr:uid="{00000000-0005-0000-0000-0000C8030000}"/>
    <cellStyle name="20% - Accent6 2 4 2 2 2" xfId="1710" xr:uid="{00000000-0005-0000-0000-0000C9030000}"/>
    <cellStyle name="20% - Accent6 2 4 2 2 2 2" xfId="3306" xr:uid="{00000000-0005-0000-0000-0000CA030000}"/>
    <cellStyle name="20% - Accent6 2 4 2 2 3" xfId="2508" xr:uid="{00000000-0005-0000-0000-0000CB030000}"/>
    <cellStyle name="20% - Accent6 2 4 2 3" xfId="1311" xr:uid="{00000000-0005-0000-0000-0000CC030000}"/>
    <cellStyle name="20% - Accent6 2 4 2 3 2" xfId="2907" xr:uid="{00000000-0005-0000-0000-0000CD030000}"/>
    <cellStyle name="20% - Accent6 2 4 2 4" xfId="2109" xr:uid="{00000000-0005-0000-0000-0000CE030000}"/>
    <cellStyle name="20% - Accent6 2 4 3" xfId="713" xr:uid="{00000000-0005-0000-0000-0000CF030000}"/>
    <cellStyle name="20% - Accent6 2 4 3 2" xfId="1510" xr:uid="{00000000-0005-0000-0000-0000D0030000}"/>
    <cellStyle name="20% - Accent6 2 4 3 2 2" xfId="3106" xr:uid="{00000000-0005-0000-0000-0000D1030000}"/>
    <cellStyle name="20% - Accent6 2 4 3 3" xfId="2308" xr:uid="{00000000-0005-0000-0000-0000D2030000}"/>
    <cellStyle name="20% - Accent6 2 4 4" xfId="1111" xr:uid="{00000000-0005-0000-0000-0000D3030000}"/>
    <cellStyle name="20% - Accent6 2 4 4 2" xfId="2707" xr:uid="{00000000-0005-0000-0000-0000D4030000}"/>
    <cellStyle name="20% - Accent6 2 4 5" xfId="1909" xr:uid="{00000000-0005-0000-0000-0000D5030000}"/>
    <cellStyle name="20% - Accent6 2 5" xfId="509" xr:uid="{00000000-0005-0000-0000-0000D6030000}"/>
    <cellStyle name="20% - Accent6 2 5 2" xfId="907" xr:uid="{00000000-0005-0000-0000-0000D7030000}"/>
    <cellStyle name="20% - Accent6 2 5 2 2" xfId="1705" xr:uid="{00000000-0005-0000-0000-0000D8030000}"/>
    <cellStyle name="20% - Accent6 2 5 2 2 2" xfId="3301" xr:uid="{00000000-0005-0000-0000-0000D9030000}"/>
    <cellStyle name="20% - Accent6 2 5 2 3" xfId="2503" xr:uid="{00000000-0005-0000-0000-0000DA030000}"/>
    <cellStyle name="20% - Accent6 2 5 3" xfId="1306" xr:uid="{00000000-0005-0000-0000-0000DB030000}"/>
    <cellStyle name="20% - Accent6 2 5 3 2" xfId="2902" xr:uid="{00000000-0005-0000-0000-0000DC030000}"/>
    <cellStyle name="20% - Accent6 2 5 4" xfId="2104" xr:uid="{00000000-0005-0000-0000-0000DD030000}"/>
    <cellStyle name="20% - Accent6 2 6" xfId="708" xr:uid="{00000000-0005-0000-0000-0000DE030000}"/>
    <cellStyle name="20% - Accent6 2 6 2" xfId="1505" xr:uid="{00000000-0005-0000-0000-0000DF030000}"/>
    <cellStyle name="20% - Accent6 2 6 2 2" xfId="3101" xr:uid="{00000000-0005-0000-0000-0000E0030000}"/>
    <cellStyle name="20% - Accent6 2 6 3" xfId="2303" xr:uid="{00000000-0005-0000-0000-0000E1030000}"/>
    <cellStyle name="20% - Accent6 2 7" xfId="1106" xr:uid="{00000000-0005-0000-0000-0000E2030000}"/>
    <cellStyle name="20% - Accent6 2 7 2" xfId="2702" xr:uid="{00000000-0005-0000-0000-0000E3030000}"/>
    <cellStyle name="20% - Accent6 2 8" xfId="1904" xr:uid="{00000000-0005-0000-0000-0000E4030000}"/>
    <cellStyle name="20% - Accent6 3" xfId="145" xr:uid="{00000000-0005-0000-0000-0000E5030000}"/>
    <cellStyle name="20% - Accent6 3 2" xfId="352" xr:uid="{00000000-0005-0000-0000-0000E6030000}"/>
    <cellStyle name="20% - Accent6 3 2 2" xfId="516" xr:uid="{00000000-0005-0000-0000-0000E7030000}"/>
    <cellStyle name="20% - Accent6 3 2 2 2" xfId="914" xr:uid="{00000000-0005-0000-0000-0000E8030000}"/>
    <cellStyle name="20% - Accent6 3 2 2 2 2" xfId="1712" xr:uid="{00000000-0005-0000-0000-0000E9030000}"/>
    <cellStyle name="20% - Accent6 3 2 2 2 2 2" xfId="3308" xr:uid="{00000000-0005-0000-0000-0000EA030000}"/>
    <cellStyle name="20% - Accent6 3 2 2 2 3" xfId="2510" xr:uid="{00000000-0005-0000-0000-0000EB030000}"/>
    <cellStyle name="20% - Accent6 3 2 2 3" xfId="1313" xr:uid="{00000000-0005-0000-0000-0000EC030000}"/>
    <cellStyle name="20% - Accent6 3 2 2 3 2" xfId="2909" xr:uid="{00000000-0005-0000-0000-0000ED030000}"/>
    <cellStyle name="20% - Accent6 3 2 2 4" xfId="2111" xr:uid="{00000000-0005-0000-0000-0000EE030000}"/>
    <cellStyle name="20% - Accent6 3 2 3" xfId="715" xr:uid="{00000000-0005-0000-0000-0000EF030000}"/>
    <cellStyle name="20% - Accent6 3 2 3 2" xfId="1512" xr:uid="{00000000-0005-0000-0000-0000F0030000}"/>
    <cellStyle name="20% - Accent6 3 2 3 2 2" xfId="3108" xr:uid="{00000000-0005-0000-0000-0000F1030000}"/>
    <cellStyle name="20% - Accent6 3 2 3 3" xfId="2310" xr:uid="{00000000-0005-0000-0000-0000F2030000}"/>
    <cellStyle name="20% - Accent6 3 2 4" xfId="1113" xr:uid="{00000000-0005-0000-0000-0000F3030000}"/>
    <cellStyle name="20% - Accent6 3 2 4 2" xfId="2709" xr:uid="{00000000-0005-0000-0000-0000F4030000}"/>
    <cellStyle name="20% - Accent6 3 2 5" xfId="1911" xr:uid="{00000000-0005-0000-0000-0000F5030000}"/>
    <cellStyle name="20% - Accent6 3 3" xfId="353" xr:uid="{00000000-0005-0000-0000-0000F6030000}"/>
    <cellStyle name="20% - Accent6 3 3 2" xfId="517" xr:uid="{00000000-0005-0000-0000-0000F7030000}"/>
    <cellStyle name="20% - Accent6 3 3 2 2" xfId="915" xr:uid="{00000000-0005-0000-0000-0000F8030000}"/>
    <cellStyle name="20% - Accent6 3 3 2 2 2" xfId="1713" xr:uid="{00000000-0005-0000-0000-0000F9030000}"/>
    <cellStyle name="20% - Accent6 3 3 2 2 2 2" xfId="3309" xr:uid="{00000000-0005-0000-0000-0000FA030000}"/>
    <cellStyle name="20% - Accent6 3 3 2 2 3" xfId="2511" xr:uid="{00000000-0005-0000-0000-0000FB030000}"/>
    <cellStyle name="20% - Accent6 3 3 2 3" xfId="1314" xr:uid="{00000000-0005-0000-0000-0000FC030000}"/>
    <cellStyle name="20% - Accent6 3 3 2 3 2" xfId="2910" xr:uid="{00000000-0005-0000-0000-0000FD030000}"/>
    <cellStyle name="20% - Accent6 3 3 2 4" xfId="2112" xr:uid="{00000000-0005-0000-0000-0000FE030000}"/>
    <cellStyle name="20% - Accent6 3 3 3" xfId="716" xr:uid="{00000000-0005-0000-0000-0000FF030000}"/>
    <cellStyle name="20% - Accent6 3 3 3 2" xfId="1513" xr:uid="{00000000-0005-0000-0000-000000040000}"/>
    <cellStyle name="20% - Accent6 3 3 3 2 2" xfId="3109" xr:uid="{00000000-0005-0000-0000-000001040000}"/>
    <cellStyle name="20% - Accent6 3 3 3 3" xfId="2311" xr:uid="{00000000-0005-0000-0000-000002040000}"/>
    <cellStyle name="20% - Accent6 3 3 4" xfId="1114" xr:uid="{00000000-0005-0000-0000-000003040000}"/>
    <cellStyle name="20% - Accent6 3 3 4 2" xfId="2710" xr:uid="{00000000-0005-0000-0000-000004040000}"/>
    <cellStyle name="20% - Accent6 3 3 5" xfId="1912" xr:uid="{00000000-0005-0000-0000-000005040000}"/>
    <cellStyle name="20% - Accent6 3 4" xfId="515" xr:uid="{00000000-0005-0000-0000-000006040000}"/>
    <cellStyle name="20% - Accent6 3 4 2" xfId="913" xr:uid="{00000000-0005-0000-0000-000007040000}"/>
    <cellStyle name="20% - Accent6 3 4 2 2" xfId="1711" xr:uid="{00000000-0005-0000-0000-000008040000}"/>
    <cellStyle name="20% - Accent6 3 4 2 2 2" xfId="3307" xr:uid="{00000000-0005-0000-0000-000009040000}"/>
    <cellStyle name="20% - Accent6 3 4 2 3" xfId="2509" xr:uid="{00000000-0005-0000-0000-00000A040000}"/>
    <cellStyle name="20% - Accent6 3 4 3" xfId="1312" xr:uid="{00000000-0005-0000-0000-00000B040000}"/>
    <cellStyle name="20% - Accent6 3 4 3 2" xfId="2908" xr:uid="{00000000-0005-0000-0000-00000C040000}"/>
    <cellStyle name="20% - Accent6 3 4 4" xfId="2110" xr:uid="{00000000-0005-0000-0000-00000D040000}"/>
    <cellStyle name="20% - Accent6 3 5" xfId="714" xr:uid="{00000000-0005-0000-0000-00000E040000}"/>
    <cellStyle name="20% - Accent6 3 5 2" xfId="1511" xr:uid="{00000000-0005-0000-0000-00000F040000}"/>
    <cellStyle name="20% - Accent6 3 5 2 2" xfId="3107" xr:uid="{00000000-0005-0000-0000-000010040000}"/>
    <cellStyle name="20% - Accent6 3 5 3" xfId="2309" xr:uid="{00000000-0005-0000-0000-000011040000}"/>
    <cellStyle name="20% - Accent6 3 6" xfId="1112" xr:uid="{00000000-0005-0000-0000-000012040000}"/>
    <cellStyle name="20% - Accent6 3 6 2" xfId="2708" xr:uid="{00000000-0005-0000-0000-000013040000}"/>
    <cellStyle name="20% - Accent6 3 7" xfId="1910" xr:uid="{00000000-0005-0000-0000-000014040000}"/>
    <cellStyle name="20% - Accent6 4" xfId="159" xr:uid="{00000000-0005-0000-0000-000015040000}"/>
    <cellStyle name="20% - Accent6 4 2" xfId="518" xr:uid="{00000000-0005-0000-0000-000016040000}"/>
    <cellStyle name="20% - Accent6 4 2 2" xfId="916" xr:uid="{00000000-0005-0000-0000-000017040000}"/>
    <cellStyle name="20% - Accent6 4 2 2 2" xfId="1714" xr:uid="{00000000-0005-0000-0000-000018040000}"/>
    <cellStyle name="20% - Accent6 4 2 2 2 2" xfId="3310" xr:uid="{00000000-0005-0000-0000-000019040000}"/>
    <cellStyle name="20% - Accent6 4 2 2 3" xfId="2512" xr:uid="{00000000-0005-0000-0000-00001A040000}"/>
    <cellStyle name="20% - Accent6 4 2 3" xfId="1315" xr:uid="{00000000-0005-0000-0000-00001B040000}"/>
    <cellStyle name="20% - Accent6 4 2 3 2" xfId="2911" xr:uid="{00000000-0005-0000-0000-00001C040000}"/>
    <cellStyle name="20% - Accent6 4 2 4" xfId="2113" xr:uid="{00000000-0005-0000-0000-00001D040000}"/>
    <cellStyle name="20% - Accent6 4 3" xfId="717" xr:uid="{00000000-0005-0000-0000-00001E040000}"/>
    <cellStyle name="20% - Accent6 4 3 2" xfId="1514" xr:uid="{00000000-0005-0000-0000-00001F040000}"/>
    <cellStyle name="20% - Accent6 4 3 2 2" xfId="3110" xr:uid="{00000000-0005-0000-0000-000020040000}"/>
    <cellStyle name="20% - Accent6 4 3 3" xfId="2312" xr:uid="{00000000-0005-0000-0000-000021040000}"/>
    <cellStyle name="20% - Accent6 4 4" xfId="1115" xr:uid="{00000000-0005-0000-0000-000022040000}"/>
    <cellStyle name="20% - Accent6 4 4 2" xfId="2711" xr:uid="{00000000-0005-0000-0000-000023040000}"/>
    <cellStyle name="20% - Accent6 4 5" xfId="1913" xr:uid="{00000000-0005-0000-0000-000024040000}"/>
    <cellStyle name="20% - Accent6 5" xfId="354" xr:uid="{00000000-0005-0000-0000-000025040000}"/>
    <cellStyle name="20% - Accent6 5 2" xfId="519" xr:uid="{00000000-0005-0000-0000-000026040000}"/>
    <cellStyle name="20% - Accent6 5 2 2" xfId="917" xr:uid="{00000000-0005-0000-0000-000027040000}"/>
    <cellStyle name="20% - Accent6 5 2 2 2" xfId="1715" xr:uid="{00000000-0005-0000-0000-000028040000}"/>
    <cellStyle name="20% - Accent6 5 2 2 2 2" xfId="3311" xr:uid="{00000000-0005-0000-0000-000029040000}"/>
    <cellStyle name="20% - Accent6 5 2 2 3" xfId="2513" xr:uid="{00000000-0005-0000-0000-00002A040000}"/>
    <cellStyle name="20% - Accent6 5 2 3" xfId="1316" xr:uid="{00000000-0005-0000-0000-00002B040000}"/>
    <cellStyle name="20% - Accent6 5 2 3 2" xfId="2912" xr:uid="{00000000-0005-0000-0000-00002C040000}"/>
    <cellStyle name="20% - Accent6 5 2 4" xfId="2114" xr:uid="{00000000-0005-0000-0000-00002D040000}"/>
    <cellStyle name="20% - Accent6 5 3" xfId="718" xr:uid="{00000000-0005-0000-0000-00002E040000}"/>
    <cellStyle name="20% - Accent6 5 3 2" xfId="1515" xr:uid="{00000000-0005-0000-0000-00002F040000}"/>
    <cellStyle name="20% - Accent6 5 3 2 2" xfId="3111" xr:uid="{00000000-0005-0000-0000-000030040000}"/>
    <cellStyle name="20% - Accent6 5 3 3" xfId="2313" xr:uid="{00000000-0005-0000-0000-000031040000}"/>
    <cellStyle name="20% - Accent6 5 4" xfId="1116" xr:uid="{00000000-0005-0000-0000-000032040000}"/>
    <cellStyle name="20% - Accent6 5 4 2" xfId="2712" xr:uid="{00000000-0005-0000-0000-000033040000}"/>
    <cellStyle name="20% - Accent6 5 5" xfId="1914" xr:uid="{00000000-0005-0000-0000-000034040000}"/>
    <cellStyle name="40% - Accent1" xfId="27" builtinId="31" customBuiltin="1"/>
    <cellStyle name="40% - Accent1 2" xfId="55" xr:uid="{00000000-0005-0000-0000-000036040000}"/>
    <cellStyle name="40% - Accent1 2 2" xfId="107" xr:uid="{00000000-0005-0000-0000-000037040000}"/>
    <cellStyle name="40% - Accent1 2 2 2" xfId="356" xr:uid="{00000000-0005-0000-0000-000038040000}"/>
    <cellStyle name="40% - Accent1 2 2 2 2" xfId="522" xr:uid="{00000000-0005-0000-0000-000039040000}"/>
    <cellStyle name="40% - Accent1 2 2 2 2 2" xfId="920" xr:uid="{00000000-0005-0000-0000-00003A040000}"/>
    <cellStyle name="40% - Accent1 2 2 2 2 2 2" xfId="1718" xr:uid="{00000000-0005-0000-0000-00003B040000}"/>
    <cellStyle name="40% - Accent1 2 2 2 2 2 2 2" xfId="3314" xr:uid="{00000000-0005-0000-0000-00003C040000}"/>
    <cellStyle name="40% - Accent1 2 2 2 2 2 3" xfId="2516" xr:uid="{00000000-0005-0000-0000-00003D040000}"/>
    <cellStyle name="40% - Accent1 2 2 2 2 3" xfId="1319" xr:uid="{00000000-0005-0000-0000-00003E040000}"/>
    <cellStyle name="40% - Accent1 2 2 2 2 3 2" xfId="2915" xr:uid="{00000000-0005-0000-0000-00003F040000}"/>
    <cellStyle name="40% - Accent1 2 2 2 2 4" xfId="2117" xr:uid="{00000000-0005-0000-0000-000040040000}"/>
    <cellStyle name="40% - Accent1 2 2 2 3" xfId="721" xr:uid="{00000000-0005-0000-0000-000041040000}"/>
    <cellStyle name="40% - Accent1 2 2 2 3 2" xfId="1518" xr:uid="{00000000-0005-0000-0000-000042040000}"/>
    <cellStyle name="40% - Accent1 2 2 2 3 2 2" xfId="3114" xr:uid="{00000000-0005-0000-0000-000043040000}"/>
    <cellStyle name="40% - Accent1 2 2 2 3 3" xfId="2316" xr:uid="{00000000-0005-0000-0000-000044040000}"/>
    <cellStyle name="40% - Accent1 2 2 2 4" xfId="1119" xr:uid="{00000000-0005-0000-0000-000045040000}"/>
    <cellStyle name="40% - Accent1 2 2 2 4 2" xfId="2715" xr:uid="{00000000-0005-0000-0000-000046040000}"/>
    <cellStyle name="40% - Accent1 2 2 2 5" xfId="1917" xr:uid="{00000000-0005-0000-0000-000047040000}"/>
    <cellStyle name="40% - Accent1 2 2 3" xfId="357" xr:uid="{00000000-0005-0000-0000-000048040000}"/>
    <cellStyle name="40% - Accent1 2 2 3 2" xfId="523" xr:uid="{00000000-0005-0000-0000-000049040000}"/>
    <cellStyle name="40% - Accent1 2 2 3 2 2" xfId="921" xr:uid="{00000000-0005-0000-0000-00004A040000}"/>
    <cellStyle name="40% - Accent1 2 2 3 2 2 2" xfId="1719" xr:uid="{00000000-0005-0000-0000-00004B040000}"/>
    <cellStyle name="40% - Accent1 2 2 3 2 2 2 2" xfId="3315" xr:uid="{00000000-0005-0000-0000-00004C040000}"/>
    <cellStyle name="40% - Accent1 2 2 3 2 2 3" xfId="2517" xr:uid="{00000000-0005-0000-0000-00004D040000}"/>
    <cellStyle name="40% - Accent1 2 2 3 2 3" xfId="1320" xr:uid="{00000000-0005-0000-0000-00004E040000}"/>
    <cellStyle name="40% - Accent1 2 2 3 2 3 2" xfId="2916" xr:uid="{00000000-0005-0000-0000-00004F040000}"/>
    <cellStyle name="40% - Accent1 2 2 3 2 4" xfId="2118" xr:uid="{00000000-0005-0000-0000-000050040000}"/>
    <cellStyle name="40% - Accent1 2 2 3 3" xfId="722" xr:uid="{00000000-0005-0000-0000-000051040000}"/>
    <cellStyle name="40% - Accent1 2 2 3 3 2" xfId="1519" xr:uid="{00000000-0005-0000-0000-000052040000}"/>
    <cellStyle name="40% - Accent1 2 2 3 3 2 2" xfId="3115" xr:uid="{00000000-0005-0000-0000-000053040000}"/>
    <cellStyle name="40% - Accent1 2 2 3 3 3" xfId="2317" xr:uid="{00000000-0005-0000-0000-000054040000}"/>
    <cellStyle name="40% - Accent1 2 2 3 4" xfId="1120" xr:uid="{00000000-0005-0000-0000-000055040000}"/>
    <cellStyle name="40% - Accent1 2 2 3 4 2" xfId="2716" xr:uid="{00000000-0005-0000-0000-000056040000}"/>
    <cellStyle name="40% - Accent1 2 2 3 5" xfId="1918" xr:uid="{00000000-0005-0000-0000-000057040000}"/>
    <cellStyle name="40% - Accent1 2 2 4" xfId="521" xr:uid="{00000000-0005-0000-0000-000058040000}"/>
    <cellStyle name="40% - Accent1 2 2 4 2" xfId="919" xr:uid="{00000000-0005-0000-0000-000059040000}"/>
    <cellStyle name="40% - Accent1 2 2 4 2 2" xfId="1717" xr:uid="{00000000-0005-0000-0000-00005A040000}"/>
    <cellStyle name="40% - Accent1 2 2 4 2 2 2" xfId="3313" xr:uid="{00000000-0005-0000-0000-00005B040000}"/>
    <cellStyle name="40% - Accent1 2 2 4 2 3" xfId="2515" xr:uid="{00000000-0005-0000-0000-00005C040000}"/>
    <cellStyle name="40% - Accent1 2 2 4 3" xfId="1318" xr:uid="{00000000-0005-0000-0000-00005D040000}"/>
    <cellStyle name="40% - Accent1 2 2 4 3 2" xfId="2914" xr:uid="{00000000-0005-0000-0000-00005E040000}"/>
    <cellStyle name="40% - Accent1 2 2 4 4" xfId="2116" xr:uid="{00000000-0005-0000-0000-00005F040000}"/>
    <cellStyle name="40% - Accent1 2 2 5" xfId="720" xr:uid="{00000000-0005-0000-0000-000060040000}"/>
    <cellStyle name="40% - Accent1 2 2 5 2" xfId="1517" xr:uid="{00000000-0005-0000-0000-000061040000}"/>
    <cellStyle name="40% - Accent1 2 2 5 2 2" xfId="3113" xr:uid="{00000000-0005-0000-0000-000062040000}"/>
    <cellStyle name="40% - Accent1 2 2 5 3" xfId="2315" xr:uid="{00000000-0005-0000-0000-000063040000}"/>
    <cellStyle name="40% - Accent1 2 2 6" xfId="1118" xr:uid="{00000000-0005-0000-0000-000064040000}"/>
    <cellStyle name="40% - Accent1 2 2 6 2" xfId="2714" xr:uid="{00000000-0005-0000-0000-000065040000}"/>
    <cellStyle name="40% - Accent1 2 2 7" xfId="1916" xr:uid="{00000000-0005-0000-0000-000066040000}"/>
    <cellStyle name="40% - Accent1 2 2 8" xfId="355" xr:uid="{00000000-0005-0000-0000-000067040000}"/>
    <cellStyle name="40% - Accent1 2 3" xfId="227" xr:uid="{00000000-0005-0000-0000-000068040000}"/>
    <cellStyle name="40% - Accent1 2 3 2" xfId="524" xr:uid="{00000000-0005-0000-0000-000069040000}"/>
    <cellStyle name="40% - Accent1 2 3 2 2" xfId="922" xr:uid="{00000000-0005-0000-0000-00006A040000}"/>
    <cellStyle name="40% - Accent1 2 3 2 2 2" xfId="1720" xr:uid="{00000000-0005-0000-0000-00006B040000}"/>
    <cellStyle name="40% - Accent1 2 3 2 2 2 2" xfId="3316" xr:uid="{00000000-0005-0000-0000-00006C040000}"/>
    <cellStyle name="40% - Accent1 2 3 2 2 3" xfId="2518" xr:uid="{00000000-0005-0000-0000-00006D040000}"/>
    <cellStyle name="40% - Accent1 2 3 2 3" xfId="1321" xr:uid="{00000000-0005-0000-0000-00006E040000}"/>
    <cellStyle name="40% - Accent1 2 3 2 3 2" xfId="2917" xr:uid="{00000000-0005-0000-0000-00006F040000}"/>
    <cellStyle name="40% - Accent1 2 3 2 4" xfId="2119" xr:uid="{00000000-0005-0000-0000-000070040000}"/>
    <cellStyle name="40% - Accent1 2 3 3" xfId="723" xr:uid="{00000000-0005-0000-0000-000071040000}"/>
    <cellStyle name="40% - Accent1 2 3 3 2" xfId="1520" xr:uid="{00000000-0005-0000-0000-000072040000}"/>
    <cellStyle name="40% - Accent1 2 3 3 2 2" xfId="3116" xr:uid="{00000000-0005-0000-0000-000073040000}"/>
    <cellStyle name="40% - Accent1 2 3 3 3" xfId="2318" xr:uid="{00000000-0005-0000-0000-000074040000}"/>
    <cellStyle name="40% - Accent1 2 3 4" xfId="1121" xr:uid="{00000000-0005-0000-0000-000075040000}"/>
    <cellStyle name="40% - Accent1 2 3 4 2" xfId="2717" xr:uid="{00000000-0005-0000-0000-000076040000}"/>
    <cellStyle name="40% - Accent1 2 3 5" xfId="1919" xr:uid="{00000000-0005-0000-0000-000077040000}"/>
    <cellStyle name="40% - Accent1 2 3 6" xfId="358" xr:uid="{00000000-0005-0000-0000-000078040000}"/>
    <cellStyle name="40% - Accent1 2 4" xfId="121" xr:uid="{00000000-0005-0000-0000-000079040000}"/>
    <cellStyle name="40% - Accent1 2 4 2" xfId="525" xr:uid="{00000000-0005-0000-0000-00007A040000}"/>
    <cellStyle name="40% - Accent1 2 4 2 2" xfId="923" xr:uid="{00000000-0005-0000-0000-00007B040000}"/>
    <cellStyle name="40% - Accent1 2 4 2 2 2" xfId="1721" xr:uid="{00000000-0005-0000-0000-00007C040000}"/>
    <cellStyle name="40% - Accent1 2 4 2 2 2 2" xfId="3317" xr:uid="{00000000-0005-0000-0000-00007D040000}"/>
    <cellStyle name="40% - Accent1 2 4 2 2 3" xfId="2519" xr:uid="{00000000-0005-0000-0000-00007E040000}"/>
    <cellStyle name="40% - Accent1 2 4 2 3" xfId="1322" xr:uid="{00000000-0005-0000-0000-00007F040000}"/>
    <cellStyle name="40% - Accent1 2 4 2 3 2" xfId="2918" xr:uid="{00000000-0005-0000-0000-000080040000}"/>
    <cellStyle name="40% - Accent1 2 4 2 4" xfId="2120" xr:uid="{00000000-0005-0000-0000-000081040000}"/>
    <cellStyle name="40% - Accent1 2 4 3" xfId="724" xr:uid="{00000000-0005-0000-0000-000082040000}"/>
    <cellStyle name="40% - Accent1 2 4 3 2" xfId="1521" xr:uid="{00000000-0005-0000-0000-000083040000}"/>
    <cellStyle name="40% - Accent1 2 4 3 2 2" xfId="3117" xr:uid="{00000000-0005-0000-0000-000084040000}"/>
    <cellStyle name="40% - Accent1 2 4 3 3" xfId="2319" xr:uid="{00000000-0005-0000-0000-000085040000}"/>
    <cellStyle name="40% - Accent1 2 4 4" xfId="1122" xr:uid="{00000000-0005-0000-0000-000086040000}"/>
    <cellStyle name="40% - Accent1 2 4 4 2" xfId="2718" xr:uid="{00000000-0005-0000-0000-000087040000}"/>
    <cellStyle name="40% - Accent1 2 4 5" xfId="1920" xr:uid="{00000000-0005-0000-0000-000088040000}"/>
    <cellStyle name="40% - Accent1 2 5" xfId="520" xr:uid="{00000000-0005-0000-0000-000089040000}"/>
    <cellStyle name="40% - Accent1 2 5 2" xfId="918" xr:uid="{00000000-0005-0000-0000-00008A040000}"/>
    <cellStyle name="40% - Accent1 2 5 2 2" xfId="1716" xr:uid="{00000000-0005-0000-0000-00008B040000}"/>
    <cellStyle name="40% - Accent1 2 5 2 2 2" xfId="3312" xr:uid="{00000000-0005-0000-0000-00008C040000}"/>
    <cellStyle name="40% - Accent1 2 5 2 3" xfId="2514" xr:uid="{00000000-0005-0000-0000-00008D040000}"/>
    <cellStyle name="40% - Accent1 2 5 3" xfId="1317" xr:uid="{00000000-0005-0000-0000-00008E040000}"/>
    <cellStyle name="40% - Accent1 2 5 3 2" xfId="2913" xr:uid="{00000000-0005-0000-0000-00008F040000}"/>
    <cellStyle name="40% - Accent1 2 5 4" xfId="2115" xr:uid="{00000000-0005-0000-0000-000090040000}"/>
    <cellStyle name="40% - Accent1 2 6" xfId="719" xr:uid="{00000000-0005-0000-0000-000091040000}"/>
    <cellStyle name="40% - Accent1 2 6 2" xfId="1516" xr:uid="{00000000-0005-0000-0000-000092040000}"/>
    <cellStyle name="40% - Accent1 2 6 2 2" xfId="3112" xr:uid="{00000000-0005-0000-0000-000093040000}"/>
    <cellStyle name="40% - Accent1 2 6 3" xfId="2314" xr:uid="{00000000-0005-0000-0000-000094040000}"/>
    <cellStyle name="40% - Accent1 2 7" xfId="1117" xr:uid="{00000000-0005-0000-0000-000095040000}"/>
    <cellStyle name="40% - Accent1 2 7 2" xfId="2713" xr:uid="{00000000-0005-0000-0000-000096040000}"/>
    <cellStyle name="40% - Accent1 2 8" xfId="1915" xr:uid="{00000000-0005-0000-0000-000097040000}"/>
    <cellStyle name="40% - Accent1 3" xfId="136" xr:uid="{00000000-0005-0000-0000-000098040000}"/>
    <cellStyle name="40% - Accent1 3 2" xfId="359" xr:uid="{00000000-0005-0000-0000-000099040000}"/>
    <cellStyle name="40% - Accent1 3 2 2" xfId="527" xr:uid="{00000000-0005-0000-0000-00009A040000}"/>
    <cellStyle name="40% - Accent1 3 2 2 2" xfId="925" xr:uid="{00000000-0005-0000-0000-00009B040000}"/>
    <cellStyle name="40% - Accent1 3 2 2 2 2" xfId="1723" xr:uid="{00000000-0005-0000-0000-00009C040000}"/>
    <cellStyle name="40% - Accent1 3 2 2 2 2 2" xfId="3319" xr:uid="{00000000-0005-0000-0000-00009D040000}"/>
    <cellStyle name="40% - Accent1 3 2 2 2 3" xfId="2521" xr:uid="{00000000-0005-0000-0000-00009E040000}"/>
    <cellStyle name="40% - Accent1 3 2 2 3" xfId="1324" xr:uid="{00000000-0005-0000-0000-00009F040000}"/>
    <cellStyle name="40% - Accent1 3 2 2 3 2" xfId="2920" xr:uid="{00000000-0005-0000-0000-0000A0040000}"/>
    <cellStyle name="40% - Accent1 3 2 2 4" xfId="2122" xr:uid="{00000000-0005-0000-0000-0000A1040000}"/>
    <cellStyle name="40% - Accent1 3 2 3" xfId="726" xr:uid="{00000000-0005-0000-0000-0000A2040000}"/>
    <cellStyle name="40% - Accent1 3 2 3 2" xfId="1523" xr:uid="{00000000-0005-0000-0000-0000A3040000}"/>
    <cellStyle name="40% - Accent1 3 2 3 2 2" xfId="3119" xr:uid="{00000000-0005-0000-0000-0000A4040000}"/>
    <cellStyle name="40% - Accent1 3 2 3 3" xfId="2321" xr:uid="{00000000-0005-0000-0000-0000A5040000}"/>
    <cellStyle name="40% - Accent1 3 2 4" xfId="1124" xr:uid="{00000000-0005-0000-0000-0000A6040000}"/>
    <cellStyle name="40% - Accent1 3 2 4 2" xfId="2720" xr:uid="{00000000-0005-0000-0000-0000A7040000}"/>
    <cellStyle name="40% - Accent1 3 2 5" xfId="1922" xr:uid="{00000000-0005-0000-0000-0000A8040000}"/>
    <cellStyle name="40% - Accent1 3 3" xfId="360" xr:uid="{00000000-0005-0000-0000-0000A9040000}"/>
    <cellStyle name="40% - Accent1 3 3 2" xfId="528" xr:uid="{00000000-0005-0000-0000-0000AA040000}"/>
    <cellStyle name="40% - Accent1 3 3 2 2" xfId="926" xr:uid="{00000000-0005-0000-0000-0000AB040000}"/>
    <cellStyle name="40% - Accent1 3 3 2 2 2" xfId="1724" xr:uid="{00000000-0005-0000-0000-0000AC040000}"/>
    <cellStyle name="40% - Accent1 3 3 2 2 2 2" xfId="3320" xr:uid="{00000000-0005-0000-0000-0000AD040000}"/>
    <cellStyle name="40% - Accent1 3 3 2 2 3" xfId="2522" xr:uid="{00000000-0005-0000-0000-0000AE040000}"/>
    <cellStyle name="40% - Accent1 3 3 2 3" xfId="1325" xr:uid="{00000000-0005-0000-0000-0000AF040000}"/>
    <cellStyle name="40% - Accent1 3 3 2 3 2" xfId="2921" xr:uid="{00000000-0005-0000-0000-0000B0040000}"/>
    <cellStyle name="40% - Accent1 3 3 2 4" xfId="2123" xr:uid="{00000000-0005-0000-0000-0000B1040000}"/>
    <cellStyle name="40% - Accent1 3 3 3" xfId="727" xr:uid="{00000000-0005-0000-0000-0000B2040000}"/>
    <cellStyle name="40% - Accent1 3 3 3 2" xfId="1524" xr:uid="{00000000-0005-0000-0000-0000B3040000}"/>
    <cellStyle name="40% - Accent1 3 3 3 2 2" xfId="3120" xr:uid="{00000000-0005-0000-0000-0000B4040000}"/>
    <cellStyle name="40% - Accent1 3 3 3 3" xfId="2322" xr:uid="{00000000-0005-0000-0000-0000B5040000}"/>
    <cellStyle name="40% - Accent1 3 3 4" xfId="1125" xr:uid="{00000000-0005-0000-0000-0000B6040000}"/>
    <cellStyle name="40% - Accent1 3 3 4 2" xfId="2721" xr:uid="{00000000-0005-0000-0000-0000B7040000}"/>
    <cellStyle name="40% - Accent1 3 3 5" xfId="1923" xr:uid="{00000000-0005-0000-0000-0000B8040000}"/>
    <cellStyle name="40% - Accent1 3 4" xfId="526" xr:uid="{00000000-0005-0000-0000-0000B9040000}"/>
    <cellStyle name="40% - Accent1 3 4 2" xfId="924" xr:uid="{00000000-0005-0000-0000-0000BA040000}"/>
    <cellStyle name="40% - Accent1 3 4 2 2" xfId="1722" xr:uid="{00000000-0005-0000-0000-0000BB040000}"/>
    <cellStyle name="40% - Accent1 3 4 2 2 2" xfId="3318" xr:uid="{00000000-0005-0000-0000-0000BC040000}"/>
    <cellStyle name="40% - Accent1 3 4 2 3" xfId="2520" xr:uid="{00000000-0005-0000-0000-0000BD040000}"/>
    <cellStyle name="40% - Accent1 3 4 3" xfId="1323" xr:uid="{00000000-0005-0000-0000-0000BE040000}"/>
    <cellStyle name="40% - Accent1 3 4 3 2" xfId="2919" xr:uid="{00000000-0005-0000-0000-0000BF040000}"/>
    <cellStyle name="40% - Accent1 3 4 4" xfId="2121" xr:uid="{00000000-0005-0000-0000-0000C0040000}"/>
    <cellStyle name="40% - Accent1 3 5" xfId="725" xr:uid="{00000000-0005-0000-0000-0000C1040000}"/>
    <cellStyle name="40% - Accent1 3 5 2" xfId="1522" xr:uid="{00000000-0005-0000-0000-0000C2040000}"/>
    <cellStyle name="40% - Accent1 3 5 2 2" xfId="3118" xr:uid="{00000000-0005-0000-0000-0000C3040000}"/>
    <cellStyle name="40% - Accent1 3 5 3" xfId="2320" xr:uid="{00000000-0005-0000-0000-0000C4040000}"/>
    <cellStyle name="40% - Accent1 3 6" xfId="1123" xr:uid="{00000000-0005-0000-0000-0000C5040000}"/>
    <cellStyle name="40% - Accent1 3 6 2" xfId="2719" xr:uid="{00000000-0005-0000-0000-0000C6040000}"/>
    <cellStyle name="40% - Accent1 3 7" xfId="1921" xr:uid="{00000000-0005-0000-0000-0000C7040000}"/>
    <cellStyle name="40% - Accent1 4" xfId="150" xr:uid="{00000000-0005-0000-0000-0000C8040000}"/>
    <cellStyle name="40% - Accent1 4 2" xfId="529" xr:uid="{00000000-0005-0000-0000-0000C9040000}"/>
    <cellStyle name="40% - Accent1 4 2 2" xfId="927" xr:uid="{00000000-0005-0000-0000-0000CA040000}"/>
    <cellStyle name="40% - Accent1 4 2 2 2" xfId="1725" xr:uid="{00000000-0005-0000-0000-0000CB040000}"/>
    <cellStyle name="40% - Accent1 4 2 2 2 2" xfId="3321" xr:uid="{00000000-0005-0000-0000-0000CC040000}"/>
    <cellStyle name="40% - Accent1 4 2 2 3" xfId="2523" xr:uid="{00000000-0005-0000-0000-0000CD040000}"/>
    <cellStyle name="40% - Accent1 4 2 3" xfId="1326" xr:uid="{00000000-0005-0000-0000-0000CE040000}"/>
    <cellStyle name="40% - Accent1 4 2 3 2" xfId="2922" xr:uid="{00000000-0005-0000-0000-0000CF040000}"/>
    <cellStyle name="40% - Accent1 4 2 4" xfId="2124" xr:uid="{00000000-0005-0000-0000-0000D0040000}"/>
    <cellStyle name="40% - Accent1 4 3" xfId="728" xr:uid="{00000000-0005-0000-0000-0000D1040000}"/>
    <cellStyle name="40% - Accent1 4 3 2" xfId="1525" xr:uid="{00000000-0005-0000-0000-0000D2040000}"/>
    <cellStyle name="40% - Accent1 4 3 2 2" xfId="3121" xr:uid="{00000000-0005-0000-0000-0000D3040000}"/>
    <cellStyle name="40% - Accent1 4 3 3" xfId="2323" xr:uid="{00000000-0005-0000-0000-0000D4040000}"/>
    <cellStyle name="40% - Accent1 4 4" xfId="1126" xr:uid="{00000000-0005-0000-0000-0000D5040000}"/>
    <cellStyle name="40% - Accent1 4 4 2" xfId="2722" xr:uid="{00000000-0005-0000-0000-0000D6040000}"/>
    <cellStyle name="40% - Accent1 4 5" xfId="1924" xr:uid="{00000000-0005-0000-0000-0000D7040000}"/>
    <cellStyle name="40% - Accent1 5" xfId="361" xr:uid="{00000000-0005-0000-0000-0000D8040000}"/>
    <cellStyle name="40% - Accent1 5 2" xfId="530" xr:uid="{00000000-0005-0000-0000-0000D9040000}"/>
    <cellStyle name="40% - Accent1 5 2 2" xfId="928" xr:uid="{00000000-0005-0000-0000-0000DA040000}"/>
    <cellStyle name="40% - Accent1 5 2 2 2" xfId="1726" xr:uid="{00000000-0005-0000-0000-0000DB040000}"/>
    <cellStyle name="40% - Accent1 5 2 2 2 2" xfId="3322" xr:uid="{00000000-0005-0000-0000-0000DC040000}"/>
    <cellStyle name="40% - Accent1 5 2 2 3" xfId="2524" xr:uid="{00000000-0005-0000-0000-0000DD040000}"/>
    <cellStyle name="40% - Accent1 5 2 3" xfId="1327" xr:uid="{00000000-0005-0000-0000-0000DE040000}"/>
    <cellStyle name="40% - Accent1 5 2 3 2" xfId="2923" xr:uid="{00000000-0005-0000-0000-0000DF040000}"/>
    <cellStyle name="40% - Accent1 5 2 4" xfId="2125" xr:uid="{00000000-0005-0000-0000-0000E0040000}"/>
    <cellStyle name="40% - Accent1 5 3" xfId="729" xr:uid="{00000000-0005-0000-0000-0000E1040000}"/>
    <cellStyle name="40% - Accent1 5 3 2" xfId="1526" xr:uid="{00000000-0005-0000-0000-0000E2040000}"/>
    <cellStyle name="40% - Accent1 5 3 2 2" xfId="3122" xr:uid="{00000000-0005-0000-0000-0000E3040000}"/>
    <cellStyle name="40% - Accent1 5 3 3" xfId="2324" xr:uid="{00000000-0005-0000-0000-0000E4040000}"/>
    <cellStyle name="40% - Accent1 5 4" xfId="1127" xr:uid="{00000000-0005-0000-0000-0000E5040000}"/>
    <cellStyle name="40% - Accent1 5 4 2" xfId="2723" xr:uid="{00000000-0005-0000-0000-0000E6040000}"/>
    <cellStyle name="40% - Accent1 5 5" xfId="1925" xr:uid="{00000000-0005-0000-0000-0000E7040000}"/>
    <cellStyle name="40% - Accent1 6" xfId="292" xr:uid="{00000000-0005-0000-0000-0000E8040000}"/>
    <cellStyle name="40% - Accent2" xfId="30" builtinId="35" customBuiltin="1"/>
    <cellStyle name="40% - Accent2 2" xfId="56" xr:uid="{00000000-0005-0000-0000-0000EA040000}"/>
    <cellStyle name="40% - Accent2 2 2" xfId="199" xr:uid="{00000000-0005-0000-0000-0000EB040000}"/>
    <cellStyle name="40% - Accent2 2 2 2" xfId="363" xr:uid="{00000000-0005-0000-0000-0000EC040000}"/>
    <cellStyle name="40% - Accent2 2 2 2 2" xfId="533" xr:uid="{00000000-0005-0000-0000-0000ED040000}"/>
    <cellStyle name="40% - Accent2 2 2 2 2 2" xfId="931" xr:uid="{00000000-0005-0000-0000-0000EE040000}"/>
    <cellStyle name="40% - Accent2 2 2 2 2 2 2" xfId="1729" xr:uid="{00000000-0005-0000-0000-0000EF040000}"/>
    <cellStyle name="40% - Accent2 2 2 2 2 2 2 2" xfId="3325" xr:uid="{00000000-0005-0000-0000-0000F0040000}"/>
    <cellStyle name="40% - Accent2 2 2 2 2 2 3" xfId="2527" xr:uid="{00000000-0005-0000-0000-0000F1040000}"/>
    <cellStyle name="40% - Accent2 2 2 2 2 3" xfId="1330" xr:uid="{00000000-0005-0000-0000-0000F2040000}"/>
    <cellStyle name="40% - Accent2 2 2 2 2 3 2" xfId="2926" xr:uid="{00000000-0005-0000-0000-0000F3040000}"/>
    <cellStyle name="40% - Accent2 2 2 2 2 4" xfId="2128" xr:uid="{00000000-0005-0000-0000-0000F4040000}"/>
    <cellStyle name="40% - Accent2 2 2 2 3" xfId="732" xr:uid="{00000000-0005-0000-0000-0000F5040000}"/>
    <cellStyle name="40% - Accent2 2 2 2 3 2" xfId="1529" xr:uid="{00000000-0005-0000-0000-0000F6040000}"/>
    <cellStyle name="40% - Accent2 2 2 2 3 2 2" xfId="3125" xr:uid="{00000000-0005-0000-0000-0000F7040000}"/>
    <cellStyle name="40% - Accent2 2 2 2 3 3" xfId="2327" xr:uid="{00000000-0005-0000-0000-0000F8040000}"/>
    <cellStyle name="40% - Accent2 2 2 2 4" xfId="1130" xr:uid="{00000000-0005-0000-0000-0000F9040000}"/>
    <cellStyle name="40% - Accent2 2 2 2 4 2" xfId="2726" xr:uid="{00000000-0005-0000-0000-0000FA040000}"/>
    <cellStyle name="40% - Accent2 2 2 2 5" xfId="1928" xr:uid="{00000000-0005-0000-0000-0000FB040000}"/>
    <cellStyle name="40% - Accent2 2 2 3" xfId="364" xr:uid="{00000000-0005-0000-0000-0000FC040000}"/>
    <cellStyle name="40% - Accent2 2 2 3 2" xfId="534" xr:uid="{00000000-0005-0000-0000-0000FD040000}"/>
    <cellStyle name="40% - Accent2 2 2 3 2 2" xfId="932" xr:uid="{00000000-0005-0000-0000-0000FE040000}"/>
    <cellStyle name="40% - Accent2 2 2 3 2 2 2" xfId="1730" xr:uid="{00000000-0005-0000-0000-0000FF040000}"/>
    <cellStyle name="40% - Accent2 2 2 3 2 2 2 2" xfId="3326" xr:uid="{00000000-0005-0000-0000-000000050000}"/>
    <cellStyle name="40% - Accent2 2 2 3 2 2 3" xfId="2528" xr:uid="{00000000-0005-0000-0000-000001050000}"/>
    <cellStyle name="40% - Accent2 2 2 3 2 3" xfId="1331" xr:uid="{00000000-0005-0000-0000-000002050000}"/>
    <cellStyle name="40% - Accent2 2 2 3 2 3 2" xfId="2927" xr:uid="{00000000-0005-0000-0000-000003050000}"/>
    <cellStyle name="40% - Accent2 2 2 3 2 4" xfId="2129" xr:uid="{00000000-0005-0000-0000-000004050000}"/>
    <cellStyle name="40% - Accent2 2 2 3 3" xfId="733" xr:uid="{00000000-0005-0000-0000-000005050000}"/>
    <cellStyle name="40% - Accent2 2 2 3 3 2" xfId="1530" xr:uid="{00000000-0005-0000-0000-000006050000}"/>
    <cellStyle name="40% - Accent2 2 2 3 3 2 2" xfId="3126" xr:uid="{00000000-0005-0000-0000-000007050000}"/>
    <cellStyle name="40% - Accent2 2 2 3 3 3" xfId="2328" xr:uid="{00000000-0005-0000-0000-000008050000}"/>
    <cellStyle name="40% - Accent2 2 2 3 4" xfId="1131" xr:uid="{00000000-0005-0000-0000-000009050000}"/>
    <cellStyle name="40% - Accent2 2 2 3 4 2" xfId="2727" xr:uid="{00000000-0005-0000-0000-00000A050000}"/>
    <cellStyle name="40% - Accent2 2 2 3 5" xfId="1929" xr:uid="{00000000-0005-0000-0000-00000B050000}"/>
    <cellStyle name="40% - Accent2 2 2 4" xfId="532" xr:uid="{00000000-0005-0000-0000-00000C050000}"/>
    <cellStyle name="40% - Accent2 2 2 4 2" xfId="930" xr:uid="{00000000-0005-0000-0000-00000D050000}"/>
    <cellStyle name="40% - Accent2 2 2 4 2 2" xfId="1728" xr:uid="{00000000-0005-0000-0000-00000E050000}"/>
    <cellStyle name="40% - Accent2 2 2 4 2 2 2" xfId="3324" xr:uid="{00000000-0005-0000-0000-00000F050000}"/>
    <cellStyle name="40% - Accent2 2 2 4 2 3" xfId="2526" xr:uid="{00000000-0005-0000-0000-000010050000}"/>
    <cellStyle name="40% - Accent2 2 2 4 3" xfId="1329" xr:uid="{00000000-0005-0000-0000-000011050000}"/>
    <cellStyle name="40% - Accent2 2 2 4 3 2" xfId="2925" xr:uid="{00000000-0005-0000-0000-000012050000}"/>
    <cellStyle name="40% - Accent2 2 2 4 4" xfId="2127" xr:uid="{00000000-0005-0000-0000-000013050000}"/>
    <cellStyle name="40% - Accent2 2 2 5" xfId="731" xr:uid="{00000000-0005-0000-0000-000014050000}"/>
    <cellStyle name="40% - Accent2 2 2 5 2" xfId="1528" xr:uid="{00000000-0005-0000-0000-000015050000}"/>
    <cellStyle name="40% - Accent2 2 2 5 2 2" xfId="3124" xr:uid="{00000000-0005-0000-0000-000016050000}"/>
    <cellStyle name="40% - Accent2 2 2 5 3" xfId="2326" xr:uid="{00000000-0005-0000-0000-000017050000}"/>
    <cellStyle name="40% - Accent2 2 2 6" xfId="1129" xr:uid="{00000000-0005-0000-0000-000018050000}"/>
    <cellStyle name="40% - Accent2 2 2 6 2" xfId="2725" xr:uid="{00000000-0005-0000-0000-000019050000}"/>
    <cellStyle name="40% - Accent2 2 2 7" xfId="1927" xr:uid="{00000000-0005-0000-0000-00001A050000}"/>
    <cellStyle name="40% - Accent2 2 2 8" xfId="362" xr:uid="{00000000-0005-0000-0000-00001B050000}"/>
    <cellStyle name="40% - Accent2 2 3" xfId="226" xr:uid="{00000000-0005-0000-0000-00001C050000}"/>
    <cellStyle name="40% - Accent2 2 3 2" xfId="535" xr:uid="{00000000-0005-0000-0000-00001D050000}"/>
    <cellStyle name="40% - Accent2 2 3 2 2" xfId="933" xr:uid="{00000000-0005-0000-0000-00001E050000}"/>
    <cellStyle name="40% - Accent2 2 3 2 2 2" xfId="1731" xr:uid="{00000000-0005-0000-0000-00001F050000}"/>
    <cellStyle name="40% - Accent2 2 3 2 2 2 2" xfId="3327" xr:uid="{00000000-0005-0000-0000-000020050000}"/>
    <cellStyle name="40% - Accent2 2 3 2 2 3" xfId="2529" xr:uid="{00000000-0005-0000-0000-000021050000}"/>
    <cellStyle name="40% - Accent2 2 3 2 3" xfId="1332" xr:uid="{00000000-0005-0000-0000-000022050000}"/>
    <cellStyle name="40% - Accent2 2 3 2 3 2" xfId="2928" xr:uid="{00000000-0005-0000-0000-000023050000}"/>
    <cellStyle name="40% - Accent2 2 3 2 4" xfId="2130" xr:uid="{00000000-0005-0000-0000-000024050000}"/>
    <cellStyle name="40% - Accent2 2 3 3" xfId="734" xr:uid="{00000000-0005-0000-0000-000025050000}"/>
    <cellStyle name="40% - Accent2 2 3 3 2" xfId="1531" xr:uid="{00000000-0005-0000-0000-000026050000}"/>
    <cellStyle name="40% - Accent2 2 3 3 2 2" xfId="3127" xr:uid="{00000000-0005-0000-0000-000027050000}"/>
    <cellStyle name="40% - Accent2 2 3 3 3" xfId="2329" xr:uid="{00000000-0005-0000-0000-000028050000}"/>
    <cellStyle name="40% - Accent2 2 3 4" xfId="1132" xr:uid="{00000000-0005-0000-0000-000029050000}"/>
    <cellStyle name="40% - Accent2 2 3 4 2" xfId="2728" xr:uid="{00000000-0005-0000-0000-00002A050000}"/>
    <cellStyle name="40% - Accent2 2 3 5" xfId="1930" xr:uid="{00000000-0005-0000-0000-00002B050000}"/>
    <cellStyle name="40% - Accent2 2 3 6" xfId="365" xr:uid="{00000000-0005-0000-0000-00002C050000}"/>
    <cellStyle name="40% - Accent2 2 4" xfId="123" xr:uid="{00000000-0005-0000-0000-00002D050000}"/>
    <cellStyle name="40% - Accent2 2 4 2" xfId="536" xr:uid="{00000000-0005-0000-0000-00002E050000}"/>
    <cellStyle name="40% - Accent2 2 4 2 2" xfId="934" xr:uid="{00000000-0005-0000-0000-00002F050000}"/>
    <cellStyle name="40% - Accent2 2 4 2 2 2" xfId="1732" xr:uid="{00000000-0005-0000-0000-000030050000}"/>
    <cellStyle name="40% - Accent2 2 4 2 2 2 2" xfId="3328" xr:uid="{00000000-0005-0000-0000-000031050000}"/>
    <cellStyle name="40% - Accent2 2 4 2 2 3" xfId="2530" xr:uid="{00000000-0005-0000-0000-000032050000}"/>
    <cellStyle name="40% - Accent2 2 4 2 3" xfId="1333" xr:uid="{00000000-0005-0000-0000-000033050000}"/>
    <cellStyle name="40% - Accent2 2 4 2 3 2" xfId="2929" xr:uid="{00000000-0005-0000-0000-000034050000}"/>
    <cellStyle name="40% - Accent2 2 4 2 4" xfId="2131" xr:uid="{00000000-0005-0000-0000-000035050000}"/>
    <cellStyle name="40% - Accent2 2 4 3" xfId="735" xr:uid="{00000000-0005-0000-0000-000036050000}"/>
    <cellStyle name="40% - Accent2 2 4 3 2" xfId="1532" xr:uid="{00000000-0005-0000-0000-000037050000}"/>
    <cellStyle name="40% - Accent2 2 4 3 2 2" xfId="3128" xr:uid="{00000000-0005-0000-0000-000038050000}"/>
    <cellStyle name="40% - Accent2 2 4 3 3" xfId="2330" xr:uid="{00000000-0005-0000-0000-000039050000}"/>
    <cellStyle name="40% - Accent2 2 4 4" xfId="1133" xr:uid="{00000000-0005-0000-0000-00003A050000}"/>
    <cellStyle name="40% - Accent2 2 4 4 2" xfId="2729" xr:uid="{00000000-0005-0000-0000-00003B050000}"/>
    <cellStyle name="40% - Accent2 2 4 5" xfId="1931" xr:uid="{00000000-0005-0000-0000-00003C050000}"/>
    <cellStyle name="40% - Accent2 2 5" xfId="531" xr:uid="{00000000-0005-0000-0000-00003D050000}"/>
    <cellStyle name="40% - Accent2 2 5 2" xfId="929" xr:uid="{00000000-0005-0000-0000-00003E050000}"/>
    <cellStyle name="40% - Accent2 2 5 2 2" xfId="1727" xr:uid="{00000000-0005-0000-0000-00003F050000}"/>
    <cellStyle name="40% - Accent2 2 5 2 2 2" xfId="3323" xr:uid="{00000000-0005-0000-0000-000040050000}"/>
    <cellStyle name="40% - Accent2 2 5 2 3" xfId="2525" xr:uid="{00000000-0005-0000-0000-000041050000}"/>
    <cellStyle name="40% - Accent2 2 5 3" xfId="1328" xr:uid="{00000000-0005-0000-0000-000042050000}"/>
    <cellStyle name="40% - Accent2 2 5 3 2" xfId="2924" xr:uid="{00000000-0005-0000-0000-000043050000}"/>
    <cellStyle name="40% - Accent2 2 5 4" xfId="2126" xr:uid="{00000000-0005-0000-0000-000044050000}"/>
    <cellStyle name="40% - Accent2 2 6" xfId="730" xr:uid="{00000000-0005-0000-0000-000045050000}"/>
    <cellStyle name="40% - Accent2 2 6 2" xfId="1527" xr:uid="{00000000-0005-0000-0000-000046050000}"/>
    <cellStyle name="40% - Accent2 2 6 2 2" xfId="3123" xr:uid="{00000000-0005-0000-0000-000047050000}"/>
    <cellStyle name="40% - Accent2 2 6 3" xfId="2325" xr:uid="{00000000-0005-0000-0000-000048050000}"/>
    <cellStyle name="40% - Accent2 2 7" xfId="1128" xr:uid="{00000000-0005-0000-0000-000049050000}"/>
    <cellStyle name="40% - Accent2 2 7 2" xfId="2724" xr:uid="{00000000-0005-0000-0000-00004A050000}"/>
    <cellStyle name="40% - Accent2 2 8" xfId="1926" xr:uid="{00000000-0005-0000-0000-00004B050000}"/>
    <cellStyle name="40% - Accent2 3" xfId="138" xr:uid="{00000000-0005-0000-0000-00004C050000}"/>
    <cellStyle name="40% - Accent2 3 2" xfId="366" xr:uid="{00000000-0005-0000-0000-00004D050000}"/>
    <cellStyle name="40% - Accent2 3 2 2" xfId="538" xr:uid="{00000000-0005-0000-0000-00004E050000}"/>
    <cellStyle name="40% - Accent2 3 2 2 2" xfId="936" xr:uid="{00000000-0005-0000-0000-00004F050000}"/>
    <cellStyle name="40% - Accent2 3 2 2 2 2" xfId="1734" xr:uid="{00000000-0005-0000-0000-000050050000}"/>
    <cellStyle name="40% - Accent2 3 2 2 2 2 2" xfId="3330" xr:uid="{00000000-0005-0000-0000-000051050000}"/>
    <cellStyle name="40% - Accent2 3 2 2 2 3" xfId="2532" xr:uid="{00000000-0005-0000-0000-000052050000}"/>
    <cellStyle name="40% - Accent2 3 2 2 3" xfId="1335" xr:uid="{00000000-0005-0000-0000-000053050000}"/>
    <cellStyle name="40% - Accent2 3 2 2 3 2" xfId="2931" xr:uid="{00000000-0005-0000-0000-000054050000}"/>
    <cellStyle name="40% - Accent2 3 2 2 4" xfId="2133" xr:uid="{00000000-0005-0000-0000-000055050000}"/>
    <cellStyle name="40% - Accent2 3 2 3" xfId="737" xr:uid="{00000000-0005-0000-0000-000056050000}"/>
    <cellStyle name="40% - Accent2 3 2 3 2" xfId="1534" xr:uid="{00000000-0005-0000-0000-000057050000}"/>
    <cellStyle name="40% - Accent2 3 2 3 2 2" xfId="3130" xr:uid="{00000000-0005-0000-0000-000058050000}"/>
    <cellStyle name="40% - Accent2 3 2 3 3" xfId="2332" xr:uid="{00000000-0005-0000-0000-000059050000}"/>
    <cellStyle name="40% - Accent2 3 2 4" xfId="1135" xr:uid="{00000000-0005-0000-0000-00005A050000}"/>
    <cellStyle name="40% - Accent2 3 2 4 2" xfId="2731" xr:uid="{00000000-0005-0000-0000-00005B050000}"/>
    <cellStyle name="40% - Accent2 3 2 5" xfId="1933" xr:uid="{00000000-0005-0000-0000-00005C050000}"/>
    <cellStyle name="40% - Accent2 3 3" xfId="367" xr:uid="{00000000-0005-0000-0000-00005D050000}"/>
    <cellStyle name="40% - Accent2 3 3 2" xfId="539" xr:uid="{00000000-0005-0000-0000-00005E050000}"/>
    <cellStyle name="40% - Accent2 3 3 2 2" xfId="937" xr:uid="{00000000-0005-0000-0000-00005F050000}"/>
    <cellStyle name="40% - Accent2 3 3 2 2 2" xfId="1735" xr:uid="{00000000-0005-0000-0000-000060050000}"/>
    <cellStyle name="40% - Accent2 3 3 2 2 2 2" xfId="3331" xr:uid="{00000000-0005-0000-0000-000061050000}"/>
    <cellStyle name="40% - Accent2 3 3 2 2 3" xfId="2533" xr:uid="{00000000-0005-0000-0000-000062050000}"/>
    <cellStyle name="40% - Accent2 3 3 2 3" xfId="1336" xr:uid="{00000000-0005-0000-0000-000063050000}"/>
    <cellStyle name="40% - Accent2 3 3 2 3 2" xfId="2932" xr:uid="{00000000-0005-0000-0000-000064050000}"/>
    <cellStyle name="40% - Accent2 3 3 2 4" xfId="2134" xr:uid="{00000000-0005-0000-0000-000065050000}"/>
    <cellStyle name="40% - Accent2 3 3 3" xfId="738" xr:uid="{00000000-0005-0000-0000-000066050000}"/>
    <cellStyle name="40% - Accent2 3 3 3 2" xfId="1535" xr:uid="{00000000-0005-0000-0000-000067050000}"/>
    <cellStyle name="40% - Accent2 3 3 3 2 2" xfId="3131" xr:uid="{00000000-0005-0000-0000-000068050000}"/>
    <cellStyle name="40% - Accent2 3 3 3 3" xfId="2333" xr:uid="{00000000-0005-0000-0000-000069050000}"/>
    <cellStyle name="40% - Accent2 3 3 4" xfId="1136" xr:uid="{00000000-0005-0000-0000-00006A050000}"/>
    <cellStyle name="40% - Accent2 3 3 4 2" xfId="2732" xr:uid="{00000000-0005-0000-0000-00006B050000}"/>
    <cellStyle name="40% - Accent2 3 3 5" xfId="1934" xr:uid="{00000000-0005-0000-0000-00006C050000}"/>
    <cellStyle name="40% - Accent2 3 4" xfId="537" xr:uid="{00000000-0005-0000-0000-00006D050000}"/>
    <cellStyle name="40% - Accent2 3 4 2" xfId="935" xr:uid="{00000000-0005-0000-0000-00006E050000}"/>
    <cellStyle name="40% - Accent2 3 4 2 2" xfId="1733" xr:uid="{00000000-0005-0000-0000-00006F050000}"/>
    <cellStyle name="40% - Accent2 3 4 2 2 2" xfId="3329" xr:uid="{00000000-0005-0000-0000-000070050000}"/>
    <cellStyle name="40% - Accent2 3 4 2 3" xfId="2531" xr:uid="{00000000-0005-0000-0000-000071050000}"/>
    <cellStyle name="40% - Accent2 3 4 3" xfId="1334" xr:uid="{00000000-0005-0000-0000-000072050000}"/>
    <cellStyle name="40% - Accent2 3 4 3 2" xfId="2930" xr:uid="{00000000-0005-0000-0000-000073050000}"/>
    <cellStyle name="40% - Accent2 3 4 4" xfId="2132" xr:uid="{00000000-0005-0000-0000-000074050000}"/>
    <cellStyle name="40% - Accent2 3 5" xfId="736" xr:uid="{00000000-0005-0000-0000-000075050000}"/>
    <cellStyle name="40% - Accent2 3 5 2" xfId="1533" xr:uid="{00000000-0005-0000-0000-000076050000}"/>
    <cellStyle name="40% - Accent2 3 5 2 2" xfId="3129" xr:uid="{00000000-0005-0000-0000-000077050000}"/>
    <cellStyle name="40% - Accent2 3 5 3" xfId="2331" xr:uid="{00000000-0005-0000-0000-000078050000}"/>
    <cellStyle name="40% - Accent2 3 6" xfId="1134" xr:uid="{00000000-0005-0000-0000-000079050000}"/>
    <cellStyle name="40% - Accent2 3 6 2" xfId="2730" xr:uid="{00000000-0005-0000-0000-00007A050000}"/>
    <cellStyle name="40% - Accent2 3 7" xfId="1932" xr:uid="{00000000-0005-0000-0000-00007B050000}"/>
    <cellStyle name="40% - Accent2 4" xfId="152" xr:uid="{00000000-0005-0000-0000-00007C050000}"/>
    <cellStyle name="40% - Accent2 4 2" xfId="540" xr:uid="{00000000-0005-0000-0000-00007D050000}"/>
    <cellStyle name="40% - Accent2 4 2 2" xfId="938" xr:uid="{00000000-0005-0000-0000-00007E050000}"/>
    <cellStyle name="40% - Accent2 4 2 2 2" xfId="1736" xr:uid="{00000000-0005-0000-0000-00007F050000}"/>
    <cellStyle name="40% - Accent2 4 2 2 2 2" xfId="3332" xr:uid="{00000000-0005-0000-0000-000080050000}"/>
    <cellStyle name="40% - Accent2 4 2 2 3" xfId="2534" xr:uid="{00000000-0005-0000-0000-000081050000}"/>
    <cellStyle name="40% - Accent2 4 2 3" xfId="1337" xr:uid="{00000000-0005-0000-0000-000082050000}"/>
    <cellStyle name="40% - Accent2 4 2 3 2" xfId="2933" xr:uid="{00000000-0005-0000-0000-000083050000}"/>
    <cellStyle name="40% - Accent2 4 2 4" xfId="2135" xr:uid="{00000000-0005-0000-0000-000084050000}"/>
    <cellStyle name="40% - Accent2 4 3" xfId="739" xr:uid="{00000000-0005-0000-0000-000085050000}"/>
    <cellStyle name="40% - Accent2 4 3 2" xfId="1536" xr:uid="{00000000-0005-0000-0000-000086050000}"/>
    <cellStyle name="40% - Accent2 4 3 2 2" xfId="3132" xr:uid="{00000000-0005-0000-0000-000087050000}"/>
    <cellStyle name="40% - Accent2 4 3 3" xfId="2334" xr:uid="{00000000-0005-0000-0000-000088050000}"/>
    <cellStyle name="40% - Accent2 4 4" xfId="1137" xr:uid="{00000000-0005-0000-0000-000089050000}"/>
    <cellStyle name="40% - Accent2 4 4 2" xfId="2733" xr:uid="{00000000-0005-0000-0000-00008A050000}"/>
    <cellStyle name="40% - Accent2 4 5" xfId="1935" xr:uid="{00000000-0005-0000-0000-00008B050000}"/>
    <cellStyle name="40% - Accent2 5" xfId="368" xr:uid="{00000000-0005-0000-0000-00008C050000}"/>
    <cellStyle name="40% - Accent2 5 2" xfId="541" xr:uid="{00000000-0005-0000-0000-00008D050000}"/>
    <cellStyle name="40% - Accent2 5 2 2" xfId="939" xr:uid="{00000000-0005-0000-0000-00008E050000}"/>
    <cellStyle name="40% - Accent2 5 2 2 2" xfId="1737" xr:uid="{00000000-0005-0000-0000-00008F050000}"/>
    <cellStyle name="40% - Accent2 5 2 2 2 2" xfId="3333" xr:uid="{00000000-0005-0000-0000-000090050000}"/>
    <cellStyle name="40% - Accent2 5 2 2 3" xfId="2535" xr:uid="{00000000-0005-0000-0000-000091050000}"/>
    <cellStyle name="40% - Accent2 5 2 3" xfId="1338" xr:uid="{00000000-0005-0000-0000-000092050000}"/>
    <cellStyle name="40% - Accent2 5 2 3 2" xfId="2934" xr:uid="{00000000-0005-0000-0000-000093050000}"/>
    <cellStyle name="40% - Accent2 5 2 4" xfId="2136" xr:uid="{00000000-0005-0000-0000-000094050000}"/>
    <cellStyle name="40% - Accent2 5 3" xfId="740" xr:uid="{00000000-0005-0000-0000-000095050000}"/>
    <cellStyle name="40% - Accent2 5 3 2" xfId="1537" xr:uid="{00000000-0005-0000-0000-000096050000}"/>
    <cellStyle name="40% - Accent2 5 3 2 2" xfId="3133" xr:uid="{00000000-0005-0000-0000-000097050000}"/>
    <cellStyle name="40% - Accent2 5 3 3" xfId="2335" xr:uid="{00000000-0005-0000-0000-000098050000}"/>
    <cellStyle name="40% - Accent2 5 4" xfId="1138" xr:uid="{00000000-0005-0000-0000-000099050000}"/>
    <cellStyle name="40% - Accent2 5 4 2" xfId="2734" xr:uid="{00000000-0005-0000-0000-00009A050000}"/>
    <cellStyle name="40% - Accent2 5 5" xfId="1936" xr:uid="{00000000-0005-0000-0000-00009B050000}"/>
    <cellStyle name="40% - Accent3" xfId="34" builtinId="39" customBuiltin="1"/>
    <cellStyle name="40% - Accent3 2" xfId="57" xr:uid="{00000000-0005-0000-0000-00009D050000}"/>
    <cellStyle name="40% - Accent3 2 2" xfId="204" xr:uid="{00000000-0005-0000-0000-00009E050000}"/>
    <cellStyle name="40% - Accent3 2 2 2" xfId="370" xr:uid="{00000000-0005-0000-0000-00009F050000}"/>
    <cellStyle name="40% - Accent3 2 2 2 2" xfId="544" xr:uid="{00000000-0005-0000-0000-0000A0050000}"/>
    <cellStyle name="40% - Accent3 2 2 2 2 2" xfId="942" xr:uid="{00000000-0005-0000-0000-0000A1050000}"/>
    <cellStyle name="40% - Accent3 2 2 2 2 2 2" xfId="1740" xr:uid="{00000000-0005-0000-0000-0000A2050000}"/>
    <cellStyle name="40% - Accent3 2 2 2 2 2 2 2" xfId="3336" xr:uid="{00000000-0005-0000-0000-0000A3050000}"/>
    <cellStyle name="40% - Accent3 2 2 2 2 2 3" xfId="2538" xr:uid="{00000000-0005-0000-0000-0000A4050000}"/>
    <cellStyle name="40% - Accent3 2 2 2 2 3" xfId="1341" xr:uid="{00000000-0005-0000-0000-0000A5050000}"/>
    <cellStyle name="40% - Accent3 2 2 2 2 3 2" xfId="2937" xr:uid="{00000000-0005-0000-0000-0000A6050000}"/>
    <cellStyle name="40% - Accent3 2 2 2 2 4" xfId="2139" xr:uid="{00000000-0005-0000-0000-0000A7050000}"/>
    <cellStyle name="40% - Accent3 2 2 2 3" xfId="743" xr:uid="{00000000-0005-0000-0000-0000A8050000}"/>
    <cellStyle name="40% - Accent3 2 2 2 3 2" xfId="1540" xr:uid="{00000000-0005-0000-0000-0000A9050000}"/>
    <cellStyle name="40% - Accent3 2 2 2 3 2 2" xfId="3136" xr:uid="{00000000-0005-0000-0000-0000AA050000}"/>
    <cellStyle name="40% - Accent3 2 2 2 3 3" xfId="2338" xr:uid="{00000000-0005-0000-0000-0000AB050000}"/>
    <cellStyle name="40% - Accent3 2 2 2 4" xfId="1141" xr:uid="{00000000-0005-0000-0000-0000AC050000}"/>
    <cellStyle name="40% - Accent3 2 2 2 4 2" xfId="2737" xr:uid="{00000000-0005-0000-0000-0000AD050000}"/>
    <cellStyle name="40% - Accent3 2 2 2 5" xfId="1939" xr:uid="{00000000-0005-0000-0000-0000AE050000}"/>
    <cellStyle name="40% - Accent3 2 2 3" xfId="371" xr:uid="{00000000-0005-0000-0000-0000AF050000}"/>
    <cellStyle name="40% - Accent3 2 2 3 2" xfId="545" xr:uid="{00000000-0005-0000-0000-0000B0050000}"/>
    <cellStyle name="40% - Accent3 2 2 3 2 2" xfId="943" xr:uid="{00000000-0005-0000-0000-0000B1050000}"/>
    <cellStyle name="40% - Accent3 2 2 3 2 2 2" xfId="1741" xr:uid="{00000000-0005-0000-0000-0000B2050000}"/>
    <cellStyle name="40% - Accent3 2 2 3 2 2 2 2" xfId="3337" xr:uid="{00000000-0005-0000-0000-0000B3050000}"/>
    <cellStyle name="40% - Accent3 2 2 3 2 2 3" xfId="2539" xr:uid="{00000000-0005-0000-0000-0000B4050000}"/>
    <cellStyle name="40% - Accent3 2 2 3 2 3" xfId="1342" xr:uid="{00000000-0005-0000-0000-0000B5050000}"/>
    <cellStyle name="40% - Accent3 2 2 3 2 3 2" xfId="2938" xr:uid="{00000000-0005-0000-0000-0000B6050000}"/>
    <cellStyle name="40% - Accent3 2 2 3 2 4" xfId="2140" xr:uid="{00000000-0005-0000-0000-0000B7050000}"/>
    <cellStyle name="40% - Accent3 2 2 3 3" xfId="744" xr:uid="{00000000-0005-0000-0000-0000B8050000}"/>
    <cellStyle name="40% - Accent3 2 2 3 3 2" xfId="1541" xr:uid="{00000000-0005-0000-0000-0000B9050000}"/>
    <cellStyle name="40% - Accent3 2 2 3 3 2 2" xfId="3137" xr:uid="{00000000-0005-0000-0000-0000BA050000}"/>
    <cellStyle name="40% - Accent3 2 2 3 3 3" xfId="2339" xr:uid="{00000000-0005-0000-0000-0000BB050000}"/>
    <cellStyle name="40% - Accent3 2 2 3 4" xfId="1142" xr:uid="{00000000-0005-0000-0000-0000BC050000}"/>
    <cellStyle name="40% - Accent3 2 2 3 4 2" xfId="2738" xr:uid="{00000000-0005-0000-0000-0000BD050000}"/>
    <cellStyle name="40% - Accent3 2 2 3 5" xfId="1940" xr:uid="{00000000-0005-0000-0000-0000BE050000}"/>
    <cellStyle name="40% - Accent3 2 2 4" xfId="543" xr:uid="{00000000-0005-0000-0000-0000BF050000}"/>
    <cellStyle name="40% - Accent3 2 2 4 2" xfId="941" xr:uid="{00000000-0005-0000-0000-0000C0050000}"/>
    <cellStyle name="40% - Accent3 2 2 4 2 2" xfId="1739" xr:uid="{00000000-0005-0000-0000-0000C1050000}"/>
    <cellStyle name="40% - Accent3 2 2 4 2 2 2" xfId="3335" xr:uid="{00000000-0005-0000-0000-0000C2050000}"/>
    <cellStyle name="40% - Accent3 2 2 4 2 3" xfId="2537" xr:uid="{00000000-0005-0000-0000-0000C3050000}"/>
    <cellStyle name="40% - Accent3 2 2 4 3" xfId="1340" xr:uid="{00000000-0005-0000-0000-0000C4050000}"/>
    <cellStyle name="40% - Accent3 2 2 4 3 2" xfId="2936" xr:uid="{00000000-0005-0000-0000-0000C5050000}"/>
    <cellStyle name="40% - Accent3 2 2 4 4" xfId="2138" xr:uid="{00000000-0005-0000-0000-0000C6050000}"/>
    <cellStyle name="40% - Accent3 2 2 5" xfId="742" xr:uid="{00000000-0005-0000-0000-0000C7050000}"/>
    <cellStyle name="40% - Accent3 2 2 5 2" xfId="1539" xr:uid="{00000000-0005-0000-0000-0000C8050000}"/>
    <cellStyle name="40% - Accent3 2 2 5 2 2" xfId="3135" xr:uid="{00000000-0005-0000-0000-0000C9050000}"/>
    <cellStyle name="40% - Accent3 2 2 5 3" xfId="2337" xr:uid="{00000000-0005-0000-0000-0000CA050000}"/>
    <cellStyle name="40% - Accent3 2 2 6" xfId="1140" xr:uid="{00000000-0005-0000-0000-0000CB050000}"/>
    <cellStyle name="40% - Accent3 2 2 6 2" xfId="2736" xr:uid="{00000000-0005-0000-0000-0000CC050000}"/>
    <cellStyle name="40% - Accent3 2 2 7" xfId="1938" xr:uid="{00000000-0005-0000-0000-0000CD050000}"/>
    <cellStyle name="40% - Accent3 2 2 8" xfId="369" xr:uid="{00000000-0005-0000-0000-0000CE050000}"/>
    <cellStyle name="40% - Accent3 2 3" xfId="225" xr:uid="{00000000-0005-0000-0000-0000CF050000}"/>
    <cellStyle name="40% - Accent3 2 3 2" xfId="546" xr:uid="{00000000-0005-0000-0000-0000D0050000}"/>
    <cellStyle name="40% - Accent3 2 3 2 2" xfId="944" xr:uid="{00000000-0005-0000-0000-0000D1050000}"/>
    <cellStyle name="40% - Accent3 2 3 2 2 2" xfId="1742" xr:uid="{00000000-0005-0000-0000-0000D2050000}"/>
    <cellStyle name="40% - Accent3 2 3 2 2 2 2" xfId="3338" xr:uid="{00000000-0005-0000-0000-0000D3050000}"/>
    <cellStyle name="40% - Accent3 2 3 2 2 3" xfId="2540" xr:uid="{00000000-0005-0000-0000-0000D4050000}"/>
    <cellStyle name="40% - Accent3 2 3 2 3" xfId="1343" xr:uid="{00000000-0005-0000-0000-0000D5050000}"/>
    <cellStyle name="40% - Accent3 2 3 2 3 2" xfId="2939" xr:uid="{00000000-0005-0000-0000-0000D6050000}"/>
    <cellStyle name="40% - Accent3 2 3 2 4" xfId="2141" xr:uid="{00000000-0005-0000-0000-0000D7050000}"/>
    <cellStyle name="40% - Accent3 2 3 3" xfId="745" xr:uid="{00000000-0005-0000-0000-0000D8050000}"/>
    <cellStyle name="40% - Accent3 2 3 3 2" xfId="1542" xr:uid="{00000000-0005-0000-0000-0000D9050000}"/>
    <cellStyle name="40% - Accent3 2 3 3 2 2" xfId="3138" xr:uid="{00000000-0005-0000-0000-0000DA050000}"/>
    <cellStyle name="40% - Accent3 2 3 3 3" xfId="2340" xr:uid="{00000000-0005-0000-0000-0000DB050000}"/>
    <cellStyle name="40% - Accent3 2 3 4" xfId="1143" xr:uid="{00000000-0005-0000-0000-0000DC050000}"/>
    <cellStyle name="40% - Accent3 2 3 4 2" xfId="2739" xr:uid="{00000000-0005-0000-0000-0000DD050000}"/>
    <cellStyle name="40% - Accent3 2 3 5" xfId="1941" xr:uid="{00000000-0005-0000-0000-0000DE050000}"/>
    <cellStyle name="40% - Accent3 2 3 6" xfId="372" xr:uid="{00000000-0005-0000-0000-0000DF050000}"/>
    <cellStyle name="40% - Accent3 2 4" xfId="125" xr:uid="{00000000-0005-0000-0000-0000E0050000}"/>
    <cellStyle name="40% - Accent3 2 4 2" xfId="547" xr:uid="{00000000-0005-0000-0000-0000E1050000}"/>
    <cellStyle name="40% - Accent3 2 4 2 2" xfId="945" xr:uid="{00000000-0005-0000-0000-0000E2050000}"/>
    <cellStyle name="40% - Accent3 2 4 2 2 2" xfId="1743" xr:uid="{00000000-0005-0000-0000-0000E3050000}"/>
    <cellStyle name="40% - Accent3 2 4 2 2 2 2" xfId="3339" xr:uid="{00000000-0005-0000-0000-0000E4050000}"/>
    <cellStyle name="40% - Accent3 2 4 2 2 3" xfId="2541" xr:uid="{00000000-0005-0000-0000-0000E5050000}"/>
    <cellStyle name="40% - Accent3 2 4 2 3" xfId="1344" xr:uid="{00000000-0005-0000-0000-0000E6050000}"/>
    <cellStyle name="40% - Accent3 2 4 2 3 2" xfId="2940" xr:uid="{00000000-0005-0000-0000-0000E7050000}"/>
    <cellStyle name="40% - Accent3 2 4 2 4" xfId="2142" xr:uid="{00000000-0005-0000-0000-0000E8050000}"/>
    <cellStyle name="40% - Accent3 2 4 3" xfId="746" xr:uid="{00000000-0005-0000-0000-0000E9050000}"/>
    <cellStyle name="40% - Accent3 2 4 3 2" xfId="1543" xr:uid="{00000000-0005-0000-0000-0000EA050000}"/>
    <cellStyle name="40% - Accent3 2 4 3 2 2" xfId="3139" xr:uid="{00000000-0005-0000-0000-0000EB050000}"/>
    <cellStyle name="40% - Accent3 2 4 3 3" xfId="2341" xr:uid="{00000000-0005-0000-0000-0000EC050000}"/>
    <cellStyle name="40% - Accent3 2 4 4" xfId="1144" xr:uid="{00000000-0005-0000-0000-0000ED050000}"/>
    <cellStyle name="40% - Accent3 2 4 4 2" xfId="2740" xr:uid="{00000000-0005-0000-0000-0000EE050000}"/>
    <cellStyle name="40% - Accent3 2 4 5" xfId="1942" xr:uid="{00000000-0005-0000-0000-0000EF050000}"/>
    <cellStyle name="40% - Accent3 2 5" xfId="542" xr:uid="{00000000-0005-0000-0000-0000F0050000}"/>
    <cellStyle name="40% - Accent3 2 5 2" xfId="940" xr:uid="{00000000-0005-0000-0000-0000F1050000}"/>
    <cellStyle name="40% - Accent3 2 5 2 2" xfId="1738" xr:uid="{00000000-0005-0000-0000-0000F2050000}"/>
    <cellStyle name="40% - Accent3 2 5 2 2 2" xfId="3334" xr:uid="{00000000-0005-0000-0000-0000F3050000}"/>
    <cellStyle name="40% - Accent3 2 5 2 3" xfId="2536" xr:uid="{00000000-0005-0000-0000-0000F4050000}"/>
    <cellStyle name="40% - Accent3 2 5 3" xfId="1339" xr:uid="{00000000-0005-0000-0000-0000F5050000}"/>
    <cellStyle name="40% - Accent3 2 5 3 2" xfId="2935" xr:uid="{00000000-0005-0000-0000-0000F6050000}"/>
    <cellStyle name="40% - Accent3 2 5 4" xfId="2137" xr:uid="{00000000-0005-0000-0000-0000F7050000}"/>
    <cellStyle name="40% - Accent3 2 6" xfId="741" xr:uid="{00000000-0005-0000-0000-0000F8050000}"/>
    <cellStyle name="40% - Accent3 2 6 2" xfId="1538" xr:uid="{00000000-0005-0000-0000-0000F9050000}"/>
    <cellStyle name="40% - Accent3 2 6 2 2" xfId="3134" xr:uid="{00000000-0005-0000-0000-0000FA050000}"/>
    <cellStyle name="40% - Accent3 2 6 3" xfId="2336" xr:uid="{00000000-0005-0000-0000-0000FB050000}"/>
    <cellStyle name="40% - Accent3 2 7" xfId="1139" xr:uid="{00000000-0005-0000-0000-0000FC050000}"/>
    <cellStyle name="40% - Accent3 2 7 2" xfId="2735" xr:uid="{00000000-0005-0000-0000-0000FD050000}"/>
    <cellStyle name="40% - Accent3 2 8" xfId="1937" xr:uid="{00000000-0005-0000-0000-0000FE050000}"/>
    <cellStyle name="40% - Accent3 3" xfId="140" xr:uid="{00000000-0005-0000-0000-0000FF050000}"/>
    <cellStyle name="40% - Accent3 3 2" xfId="373" xr:uid="{00000000-0005-0000-0000-000000060000}"/>
    <cellStyle name="40% - Accent3 3 2 2" xfId="549" xr:uid="{00000000-0005-0000-0000-000001060000}"/>
    <cellStyle name="40% - Accent3 3 2 2 2" xfId="947" xr:uid="{00000000-0005-0000-0000-000002060000}"/>
    <cellStyle name="40% - Accent3 3 2 2 2 2" xfId="1745" xr:uid="{00000000-0005-0000-0000-000003060000}"/>
    <cellStyle name="40% - Accent3 3 2 2 2 2 2" xfId="3341" xr:uid="{00000000-0005-0000-0000-000004060000}"/>
    <cellStyle name="40% - Accent3 3 2 2 2 3" xfId="2543" xr:uid="{00000000-0005-0000-0000-000005060000}"/>
    <cellStyle name="40% - Accent3 3 2 2 3" xfId="1346" xr:uid="{00000000-0005-0000-0000-000006060000}"/>
    <cellStyle name="40% - Accent3 3 2 2 3 2" xfId="2942" xr:uid="{00000000-0005-0000-0000-000007060000}"/>
    <cellStyle name="40% - Accent3 3 2 2 4" xfId="2144" xr:uid="{00000000-0005-0000-0000-000008060000}"/>
    <cellStyle name="40% - Accent3 3 2 3" xfId="748" xr:uid="{00000000-0005-0000-0000-000009060000}"/>
    <cellStyle name="40% - Accent3 3 2 3 2" xfId="1545" xr:uid="{00000000-0005-0000-0000-00000A060000}"/>
    <cellStyle name="40% - Accent3 3 2 3 2 2" xfId="3141" xr:uid="{00000000-0005-0000-0000-00000B060000}"/>
    <cellStyle name="40% - Accent3 3 2 3 3" xfId="2343" xr:uid="{00000000-0005-0000-0000-00000C060000}"/>
    <cellStyle name="40% - Accent3 3 2 4" xfId="1146" xr:uid="{00000000-0005-0000-0000-00000D060000}"/>
    <cellStyle name="40% - Accent3 3 2 4 2" xfId="2742" xr:uid="{00000000-0005-0000-0000-00000E060000}"/>
    <cellStyle name="40% - Accent3 3 2 5" xfId="1944" xr:uid="{00000000-0005-0000-0000-00000F060000}"/>
    <cellStyle name="40% - Accent3 3 3" xfId="374" xr:uid="{00000000-0005-0000-0000-000010060000}"/>
    <cellStyle name="40% - Accent3 3 3 2" xfId="550" xr:uid="{00000000-0005-0000-0000-000011060000}"/>
    <cellStyle name="40% - Accent3 3 3 2 2" xfId="948" xr:uid="{00000000-0005-0000-0000-000012060000}"/>
    <cellStyle name="40% - Accent3 3 3 2 2 2" xfId="1746" xr:uid="{00000000-0005-0000-0000-000013060000}"/>
    <cellStyle name="40% - Accent3 3 3 2 2 2 2" xfId="3342" xr:uid="{00000000-0005-0000-0000-000014060000}"/>
    <cellStyle name="40% - Accent3 3 3 2 2 3" xfId="2544" xr:uid="{00000000-0005-0000-0000-000015060000}"/>
    <cellStyle name="40% - Accent3 3 3 2 3" xfId="1347" xr:uid="{00000000-0005-0000-0000-000016060000}"/>
    <cellStyle name="40% - Accent3 3 3 2 3 2" xfId="2943" xr:uid="{00000000-0005-0000-0000-000017060000}"/>
    <cellStyle name="40% - Accent3 3 3 2 4" xfId="2145" xr:uid="{00000000-0005-0000-0000-000018060000}"/>
    <cellStyle name="40% - Accent3 3 3 3" xfId="749" xr:uid="{00000000-0005-0000-0000-000019060000}"/>
    <cellStyle name="40% - Accent3 3 3 3 2" xfId="1546" xr:uid="{00000000-0005-0000-0000-00001A060000}"/>
    <cellStyle name="40% - Accent3 3 3 3 2 2" xfId="3142" xr:uid="{00000000-0005-0000-0000-00001B060000}"/>
    <cellStyle name="40% - Accent3 3 3 3 3" xfId="2344" xr:uid="{00000000-0005-0000-0000-00001C060000}"/>
    <cellStyle name="40% - Accent3 3 3 4" xfId="1147" xr:uid="{00000000-0005-0000-0000-00001D060000}"/>
    <cellStyle name="40% - Accent3 3 3 4 2" xfId="2743" xr:uid="{00000000-0005-0000-0000-00001E060000}"/>
    <cellStyle name="40% - Accent3 3 3 5" xfId="1945" xr:uid="{00000000-0005-0000-0000-00001F060000}"/>
    <cellStyle name="40% - Accent3 3 4" xfId="548" xr:uid="{00000000-0005-0000-0000-000020060000}"/>
    <cellStyle name="40% - Accent3 3 4 2" xfId="946" xr:uid="{00000000-0005-0000-0000-000021060000}"/>
    <cellStyle name="40% - Accent3 3 4 2 2" xfId="1744" xr:uid="{00000000-0005-0000-0000-000022060000}"/>
    <cellStyle name="40% - Accent3 3 4 2 2 2" xfId="3340" xr:uid="{00000000-0005-0000-0000-000023060000}"/>
    <cellStyle name="40% - Accent3 3 4 2 3" xfId="2542" xr:uid="{00000000-0005-0000-0000-000024060000}"/>
    <cellStyle name="40% - Accent3 3 4 3" xfId="1345" xr:uid="{00000000-0005-0000-0000-000025060000}"/>
    <cellStyle name="40% - Accent3 3 4 3 2" xfId="2941" xr:uid="{00000000-0005-0000-0000-000026060000}"/>
    <cellStyle name="40% - Accent3 3 4 4" xfId="2143" xr:uid="{00000000-0005-0000-0000-000027060000}"/>
    <cellStyle name="40% - Accent3 3 5" xfId="747" xr:uid="{00000000-0005-0000-0000-000028060000}"/>
    <cellStyle name="40% - Accent3 3 5 2" xfId="1544" xr:uid="{00000000-0005-0000-0000-000029060000}"/>
    <cellStyle name="40% - Accent3 3 5 2 2" xfId="3140" xr:uid="{00000000-0005-0000-0000-00002A060000}"/>
    <cellStyle name="40% - Accent3 3 5 3" xfId="2342" xr:uid="{00000000-0005-0000-0000-00002B060000}"/>
    <cellStyle name="40% - Accent3 3 6" xfId="1145" xr:uid="{00000000-0005-0000-0000-00002C060000}"/>
    <cellStyle name="40% - Accent3 3 6 2" xfId="2741" xr:uid="{00000000-0005-0000-0000-00002D060000}"/>
    <cellStyle name="40% - Accent3 3 7" xfId="1943" xr:uid="{00000000-0005-0000-0000-00002E060000}"/>
    <cellStyle name="40% - Accent3 4" xfId="154" xr:uid="{00000000-0005-0000-0000-00002F060000}"/>
    <cellStyle name="40% - Accent3 4 2" xfId="551" xr:uid="{00000000-0005-0000-0000-000030060000}"/>
    <cellStyle name="40% - Accent3 4 2 2" xfId="949" xr:uid="{00000000-0005-0000-0000-000031060000}"/>
    <cellStyle name="40% - Accent3 4 2 2 2" xfId="1747" xr:uid="{00000000-0005-0000-0000-000032060000}"/>
    <cellStyle name="40% - Accent3 4 2 2 2 2" xfId="3343" xr:uid="{00000000-0005-0000-0000-000033060000}"/>
    <cellStyle name="40% - Accent3 4 2 2 3" xfId="2545" xr:uid="{00000000-0005-0000-0000-000034060000}"/>
    <cellStyle name="40% - Accent3 4 2 3" xfId="1348" xr:uid="{00000000-0005-0000-0000-000035060000}"/>
    <cellStyle name="40% - Accent3 4 2 3 2" xfId="2944" xr:uid="{00000000-0005-0000-0000-000036060000}"/>
    <cellStyle name="40% - Accent3 4 2 4" xfId="2146" xr:uid="{00000000-0005-0000-0000-000037060000}"/>
    <cellStyle name="40% - Accent3 4 3" xfId="750" xr:uid="{00000000-0005-0000-0000-000038060000}"/>
    <cellStyle name="40% - Accent3 4 3 2" xfId="1547" xr:uid="{00000000-0005-0000-0000-000039060000}"/>
    <cellStyle name="40% - Accent3 4 3 2 2" xfId="3143" xr:uid="{00000000-0005-0000-0000-00003A060000}"/>
    <cellStyle name="40% - Accent3 4 3 3" xfId="2345" xr:uid="{00000000-0005-0000-0000-00003B060000}"/>
    <cellStyle name="40% - Accent3 4 4" xfId="1148" xr:uid="{00000000-0005-0000-0000-00003C060000}"/>
    <cellStyle name="40% - Accent3 4 4 2" xfId="2744" xr:uid="{00000000-0005-0000-0000-00003D060000}"/>
    <cellStyle name="40% - Accent3 4 5" xfId="1946" xr:uid="{00000000-0005-0000-0000-00003E060000}"/>
    <cellStyle name="40% - Accent3 5" xfId="375" xr:uid="{00000000-0005-0000-0000-00003F060000}"/>
    <cellStyle name="40% - Accent3 5 2" xfId="552" xr:uid="{00000000-0005-0000-0000-000040060000}"/>
    <cellStyle name="40% - Accent3 5 2 2" xfId="950" xr:uid="{00000000-0005-0000-0000-000041060000}"/>
    <cellStyle name="40% - Accent3 5 2 2 2" xfId="1748" xr:uid="{00000000-0005-0000-0000-000042060000}"/>
    <cellStyle name="40% - Accent3 5 2 2 2 2" xfId="3344" xr:uid="{00000000-0005-0000-0000-000043060000}"/>
    <cellStyle name="40% - Accent3 5 2 2 3" xfId="2546" xr:uid="{00000000-0005-0000-0000-000044060000}"/>
    <cellStyle name="40% - Accent3 5 2 3" xfId="1349" xr:uid="{00000000-0005-0000-0000-000045060000}"/>
    <cellStyle name="40% - Accent3 5 2 3 2" xfId="2945" xr:uid="{00000000-0005-0000-0000-000046060000}"/>
    <cellStyle name="40% - Accent3 5 2 4" xfId="2147" xr:uid="{00000000-0005-0000-0000-000047060000}"/>
    <cellStyle name="40% - Accent3 5 3" xfId="751" xr:uid="{00000000-0005-0000-0000-000048060000}"/>
    <cellStyle name="40% - Accent3 5 3 2" xfId="1548" xr:uid="{00000000-0005-0000-0000-000049060000}"/>
    <cellStyle name="40% - Accent3 5 3 2 2" xfId="3144" xr:uid="{00000000-0005-0000-0000-00004A060000}"/>
    <cellStyle name="40% - Accent3 5 3 3" xfId="2346" xr:uid="{00000000-0005-0000-0000-00004B060000}"/>
    <cellStyle name="40% - Accent3 5 4" xfId="1149" xr:uid="{00000000-0005-0000-0000-00004C060000}"/>
    <cellStyle name="40% - Accent3 5 4 2" xfId="2745" xr:uid="{00000000-0005-0000-0000-00004D060000}"/>
    <cellStyle name="40% - Accent3 5 5" xfId="1947" xr:uid="{00000000-0005-0000-0000-00004E060000}"/>
    <cellStyle name="40% - Accent3 6" xfId="293" xr:uid="{00000000-0005-0000-0000-00004F060000}"/>
    <cellStyle name="40% - Accent4" xfId="38" builtinId="43" customBuiltin="1"/>
    <cellStyle name="40% - Accent4 2" xfId="58" xr:uid="{00000000-0005-0000-0000-000051060000}"/>
    <cellStyle name="40% - Accent4 2 2" xfId="116" xr:uid="{00000000-0005-0000-0000-000052060000}"/>
    <cellStyle name="40% - Accent4 2 2 2" xfId="377" xr:uid="{00000000-0005-0000-0000-000053060000}"/>
    <cellStyle name="40% - Accent4 2 2 2 2" xfId="555" xr:uid="{00000000-0005-0000-0000-000054060000}"/>
    <cellStyle name="40% - Accent4 2 2 2 2 2" xfId="953" xr:uid="{00000000-0005-0000-0000-000055060000}"/>
    <cellStyle name="40% - Accent4 2 2 2 2 2 2" xfId="1751" xr:uid="{00000000-0005-0000-0000-000056060000}"/>
    <cellStyle name="40% - Accent4 2 2 2 2 2 2 2" xfId="3347" xr:uid="{00000000-0005-0000-0000-000057060000}"/>
    <cellStyle name="40% - Accent4 2 2 2 2 2 3" xfId="2549" xr:uid="{00000000-0005-0000-0000-000058060000}"/>
    <cellStyle name="40% - Accent4 2 2 2 2 3" xfId="1352" xr:uid="{00000000-0005-0000-0000-000059060000}"/>
    <cellStyle name="40% - Accent4 2 2 2 2 3 2" xfId="2948" xr:uid="{00000000-0005-0000-0000-00005A060000}"/>
    <cellStyle name="40% - Accent4 2 2 2 2 4" xfId="2150" xr:uid="{00000000-0005-0000-0000-00005B060000}"/>
    <cellStyle name="40% - Accent4 2 2 2 3" xfId="754" xr:uid="{00000000-0005-0000-0000-00005C060000}"/>
    <cellStyle name="40% - Accent4 2 2 2 3 2" xfId="1551" xr:uid="{00000000-0005-0000-0000-00005D060000}"/>
    <cellStyle name="40% - Accent4 2 2 2 3 2 2" xfId="3147" xr:uid="{00000000-0005-0000-0000-00005E060000}"/>
    <cellStyle name="40% - Accent4 2 2 2 3 3" xfId="2349" xr:uid="{00000000-0005-0000-0000-00005F060000}"/>
    <cellStyle name="40% - Accent4 2 2 2 4" xfId="1152" xr:uid="{00000000-0005-0000-0000-000060060000}"/>
    <cellStyle name="40% - Accent4 2 2 2 4 2" xfId="2748" xr:uid="{00000000-0005-0000-0000-000061060000}"/>
    <cellStyle name="40% - Accent4 2 2 2 5" xfId="1950" xr:uid="{00000000-0005-0000-0000-000062060000}"/>
    <cellStyle name="40% - Accent4 2 2 3" xfId="378" xr:uid="{00000000-0005-0000-0000-000063060000}"/>
    <cellStyle name="40% - Accent4 2 2 3 2" xfId="556" xr:uid="{00000000-0005-0000-0000-000064060000}"/>
    <cellStyle name="40% - Accent4 2 2 3 2 2" xfId="954" xr:uid="{00000000-0005-0000-0000-000065060000}"/>
    <cellStyle name="40% - Accent4 2 2 3 2 2 2" xfId="1752" xr:uid="{00000000-0005-0000-0000-000066060000}"/>
    <cellStyle name="40% - Accent4 2 2 3 2 2 2 2" xfId="3348" xr:uid="{00000000-0005-0000-0000-000067060000}"/>
    <cellStyle name="40% - Accent4 2 2 3 2 2 3" xfId="2550" xr:uid="{00000000-0005-0000-0000-000068060000}"/>
    <cellStyle name="40% - Accent4 2 2 3 2 3" xfId="1353" xr:uid="{00000000-0005-0000-0000-000069060000}"/>
    <cellStyle name="40% - Accent4 2 2 3 2 3 2" xfId="2949" xr:uid="{00000000-0005-0000-0000-00006A060000}"/>
    <cellStyle name="40% - Accent4 2 2 3 2 4" xfId="2151" xr:uid="{00000000-0005-0000-0000-00006B060000}"/>
    <cellStyle name="40% - Accent4 2 2 3 3" xfId="755" xr:uid="{00000000-0005-0000-0000-00006C060000}"/>
    <cellStyle name="40% - Accent4 2 2 3 3 2" xfId="1552" xr:uid="{00000000-0005-0000-0000-00006D060000}"/>
    <cellStyle name="40% - Accent4 2 2 3 3 2 2" xfId="3148" xr:uid="{00000000-0005-0000-0000-00006E060000}"/>
    <cellStyle name="40% - Accent4 2 2 3 3 3" xfId="2350" xr:uid="{00000000-0005-0000-0000-00006F060000}"/>
    <cellStyle name="40% - Accent4 2 2 3 4" xfId="1153" xr:uid="{00000000-0005-0000-0000-000070060000}"/>
    <cellStyle name="40% - Accent4 2 2 3 4 2" xfId="2749" xr:uid="{00000000-0005-0000-0000-000071060000}"/>
    <cellStyle name="40% - Accent4 2 2 3 5" xfId="1951" xr:uid="{00000000-0005-0000-0000-000072060000}"/>
    <cellStyle name="40% - Accent4 2 2 4" xfId="554" xr:uid="{00000000-0005-0000-0000-000073060000}"/>
    <cellStyle name="40% - Accent4 2 2 4 2" xfId="952" xr:uid="{00000000-0005-0000-0000-000074060000}"/>
    <cellStyle name="40% - Accent4 2 2 4 2 2" xfId="1750" xr:uid="{00000000-0005-0000-0000-000075060000}"/>
    <cellStyle name="40% - Accent4 2 2 4 2 2 2" xfId="3346" xr:uid="{00000000-0005-0000-0000-000076060000}"/>
    <cellStyle name="40% - Accent4 2 2 4 2 3" xfId="2548" xr:uid="{00000000-0005-0000-0000-000077060000}"/>
    <cellStyle name="40% - Accent4 2 2 4 3" xfId="1351" xr:uid="{00000000-0005-0000-0000-000078060000}"/>
    <cellStyle name="40% - Accent4 2 2 4 3 2" xfId="2947" xr:uid="{00000000-0005-0000-0000-000079060000}"/>
    <cellStyle name="40% - Accent4 2 2 4 4" xfId="2149" xr:uid="{00000000-0005-0000-0000-00007A060000}"/>
    <cellStyle name="40% - Accent4 2 2 5" xfId="753" xr:uid="{00000000-0005-0000-0000-00007B060000}"/>
    <cellStyle name="40% - Accent4 2 2 5 2" xfId="1550" xr:uid="{00000000-0005-0000-0000-00007C060000}"/>
    <cellStyle name="40% - Accent4 2 2 5 2 2" xfId="3146" xr:uid="{00000000-0005-0000-0000-00007D060000}"/>
    <cellStyle name="40% - Accent4 2 2 5 3" xfId="2348" xr:uid="{00000000-0005-0000-0000-00007E060000}"/>
    <cellStyle name="40% - Accent4 2 2 6" xfId="1151" xr:uid="{00000000-0005-0000-0000-00007F060000}"/>
    <cellStyle name="40% - Accent4 2 2 6 2" xfId="2747" xr:uid="{00000000-0005-0000-0000-000080060000}"/>
    <cellStyle name="40% - Accent4 2 2 7" xfId="1949" xr:uid="{00000000-0005-0000-0000-000081060000}"/>
    <cellStyle name="40% - Accent4 2 2 8" xfId="376" xr:uid="{00000000-0005-0000-0000-000082060000}"/>
    <cellStyle name="40% - Accent4 2 3" xfId="224" xr:uid="{00000000-0005-0000-0000-000083060000}"/>
    <cellStyle name="40% - Accent4 2 3 2" xfId="557" xr:uid="{00000000-0005-0000-0000-000084060000}"/>
    <cellStyle name="40% - Accent4 2 3 2 2" xfId="955" xr:uid="{00000000-0005-0000-0000-000085060000}"/>
    <cellStyle name="40% - Accent4 2 3 2 2 2" xfId="1753" xr:uid="{00000000-0005-0000-0000-000086060000}"/>
    <cellStyle name="40% - Accent4 2 3 2 2 2 2" xfId="3349" xr:uid="{00000000-0005-0000-0000-000087060000}"/>
    <cellStyle name="40% - Accent4 2 3 2 2 3" xfId="2551" xr:uid="{00000000-0005-0000-0000-000088060000}"/>
    <cellStyle name="40% - Accent4 2 3 2 3" xfId="1354" xr:uid="{00000000-0005-0000-0000-000089060000}"/>
    <cellStyle name="40% - Accent4 2 3 2 3 2" xfId="2950" xr:uid="{00000000-0005-0000-0000-00008A060000}"/>
    <cellStyle name="40% - Accent4 2 3 2 4" xfId="2152" xr:uid="{00000000-0005-0000-0000-00008B060000}"/>
    <cellStyle name="40% - Accent4 2 3 3" xfId="756" xr:uid="{00000000-0005-0000-0000-00008C060000}"/>
    <cellStyle name="40% - Accent4 2 3 3 2" xfId="1553" xr:uid="{00000000-0005-0000-0000-00008D060000}"/>
    <cellStyle name="40% - Accent4 2 3 3 2 2" xfId="3149" xr:uid="{00000000-0005-0000-0000-00008E060000}"/>
    <cellStyle name="40% - Accent4 2 3 3 3" xfId="2351" xr:uid="{00000000-0005-0000-0000-00008F060000}"/>
    <cellStyle name="40% - Accent4 2 3 4" xfId="1154" xr:uid="{00000000-0005-0000-0000-000090060000}"/>
    <cellStyle name="40% - Accent4 2 3 4 2" xfId="2750" xr:uid="{00000000-0005-0000-0000-000091060000}"/>
    <cellStyle name="40% - Accent4 2 3 5" xfId="1952" xr:uid="{00000000-0005-0000-0000-000092060000}"/>
    <cellStyle name="40% - Accent4 2 3 6" xfId="379" xr:uid="{00000000-0005-0000-0000-000093060000}"/>
    <cellStyle name="40% - Accent4 2 4" xfId="127" xr:uid="{00000000-0005-0000-0000-000094060000}"/>
    <cellStyle name="40% - Accent4 2 4 2" xfId="558" xr:uid="{00000000-0005-0000-0000-000095060000}"/>
    <cellStyle name="40% - Accent4 2 4 2 2" xfId="956" xr:uid="{00000000-0005-0000-0000-000096060000}"/>
    <cellStyle name="40% - Accent4 2 4 2 2 2" xfId="1754" xr:uid="{00000000-0005-0000-0000-000097060000}"/>
    <cellStyle name="40% - Accent4 2 4 2 2 2 2" xfId="3350" xr:uid="{00000000-0005-0000-0000-000098060000}"/>
    <cellStyle name="40% - Accent4 2 4 2 2 3" xfId="2552" xr:uid="{00000000-0005-0000-0000-000099060000}"/>
    <cellStyle name="40% - Accent4 2 4 2 3" xfId="1355" xr:uid="{00000000-0005-0000-0000-00009A060000}"/>
    <cellStyle name="40% - Accent4 2 4 2 3 2" xfId="2951" xr:uid="{00000000-0005-0000-0000-00009B060000}"/>
    <cellStyle name="40% - Accent4 2 4 2 4" xfId="2153" xr:uid="{00000000-0005-0000-0000-00009C060000}"/>
    <cellStyle name="40% - Accent4 2 4 3" xfId="757" xr:uid="{00000000-0005-0000-0000-00009D060000}"/>
    <cellStyle name="40% - Accent4 2 4 3 2" xfId="1554" xr:uid="{00000000-0005-0000-0000-00009E060000}"/>
    <cellStyle name="40% - Accent4 2 4 3 2 2" xfId="3150" xr:uid="{00000000-0005-0000-0000-00009F060000}"/>
    <cellStyle name="40% - Accent4 2 4 3 3" xfId="2352" xr:uid="{00000000-0005-0000-0000-0000A0060000}"/>
    <cellStyle name="40% - Accent4 2 4 4" xfId="1155" xr:uid="{00000000-0005-0000-0000-0000A1060000}"/>
    <cellStyle name="40% - Accent4 2 4 4 2" xfId="2751" xr:uid="{00000000-0005-0000-0000-0000A2060000}"/>
    <cellStyle name="40% - Accent4 2 4 5" xfId="1953" xr:uid="{00000000-0005-0000-0000-0000A3060000}"/>
    <cellStyle name="40% - Accent4 2 5" xfId="553" xr:uid="{00000000-0005-0000-0000-0000A4060000}"/>
    <cellStyle name="40% - Accent4 2 5 2" xfId="951" xr:uid="{00000000-0005-0000-0000-0000A5060000}"/>
    <cellStyle name="40% - Accent4 2 5 2 2" xfId="1749" xr:uid="{00000000-0005-0000-0000-0000A6060000}"/>
    <cellStyle name="40% - Accent4 2 5 2 2 2" xfId="3345" xr:uid="{00000000-0005-0000-0000-0000A7060000}"/>
    <cellStyle name="40% - Accent4 2 5 2 3" xfId="2547" xr:uid="{00000000-0005-0000-0000-0000A8060000}"/>
    <cellStyle name="40% - Accent4 2 5 3" xfId="1350" xr:uid="{00000000-0005-0000-0000-0000A9060000}"/>
    <cellStyle name="40% - Accent4 2 5 3 2" xfId="2946" xr:uid="{00000000-0005-0000-0000-0000AA060000}"/>
    <cellStyle name="40% - Accent4 2 5 4" xfId="2148" xr:uid="{00000000-0005-0000-0000-0000AB060000}"/>
    <cellStyle name="40% - Accent4 2 6" xfId="752" xr:uid="{00000000-0005-0000-0000-0000AC060000}"/>
    <cellStyle name="40% - Accent4 2 6 2" xfId="1549" xr:uid="{00000000-0005-0000-0000-0000AD060000}"/>
    <cellStyle name="40% - Accent4 2 6 2 2" xfId="3145" xr:uid="{00000000-0005-0000-0000-0000AE060000}"/>
    <cellStyle name="40% - Accent4 2 6 3" xfId="2347" xr:uid="{00000000-0005-0000-0000-0000AF060000}"/>
    <cellStyle name="40% - Accent4 2 7" xfId="1150" xr:uid="{00000000-0005-0000-0000-0000B0060000}"/>
    <cellStyle name="40% - Accent4 2 7 2" xfId="2746" xr:uid="{00000000-0005-0000-0000-0000B1060000}"/>
    <cellStyle name="40% - Accent4 2 8" xfId="1948" xr:uid="{00000000-0005-0000-0000-0000B2060000}"/>
    <cellStyle name="40% - Accent4 3" xfId="142" xr:uid="{00000000-0005-0000-0000-0000B3060000}"/>
    <cellStyle name="40% - Accent4 3 2" xfId="380" xr:uid="{00000000-0005-0000-0000-0000B4060000}"/>
    <cellStyle name="40% - Accent4 3 2 2" xfId="560" xr:uid="{00000000-0005-0000-0000-0000B5060000}"/>
    <cellStyle name="40% - Accent4 3 2 2 2" xfId="958" xr:uid="{00000000-0005-0000-0000-0000B6060000}"/>
    <cellStyle name="40% - Accent4 3 2 2 2 2" xfId="1756" xr:uid="{00000000-0005-0000-0000-0000B7060000}"/>
    <cellStyle name="40% - Accent4 3 2 2 2 2 2" xfId="3352" xr:uid="{00000000-0005-0000-0000-0000B8060000}"/>
    <cellStyle name="40% - Accent4 3 2 2 2 3" xfId="2554" xr:uid="{00000000-0005-0000-0000-0000B9060000}"/>
    <cellStyle name="40% - Accent4 3 2 2 3" xfId="1357" xr:uid="{00000000-0005-0000-0000-0000BA060000}"/>
    <cellStyle name="40% - Accent4 3 2 2 3 2" xfId="2953" xr:uid="{00000000-0005-0000-0000-0000BB060000}"/>
    <cellStyle name="40% - Accent4 3 2 2 4" xfId="2155" xr:uid="{00000000-0005-0000-0000-0000BC060000}"/>
    <cellStyle name="40% - Accent4 3 2 3" xfId="759" xr:uid="{00000000-0005-0000-0000-0000BD060000}"/>
    <cellStyle name="40% - Accent4 3 2 3 2" xfId="1556" xr:uid="{00000000-0005-0000-0000-0000BE060000}"/>
    <cellStyle name="40% - Accent4 3 2 3 2 2" xfId="3152" xr:uid="{00000000-0005-0000-0000-0000BF060000}"/>
    <cellStyle name="40% - Accent4 3 2 3 3" xfId="2354" xr:uid="{00000000-0005-0000-0000-0000C0060000}"/>
    <cellStyle name="40% - Accent4 3 2 4" xfId="1157" xr:uid="{00000000-0005-0000-0000-0000C1060000}"/>
    <cellStyle name="40% - Accent4 3 2 4 2" xfId="2753" xr:uid="{00000000-0005-0000-0000-0000C2060000}"/>
    <cellStyle name="40% - Accent4 3 2 5" xfId="1955" xr:uid="{00000000-0005-0000-0000-0000C3060000}"/>
    <cellStyle name="40% - Accent4 3 3" xfId="381" xr:uid="{00000000-0005-0000-0000-0000C4060000}"/>
    <cellStyle name="40% - Accent4 3 3 2" xfId="561" xr:uid="{00000000-0005-0000-0000-0000C5060000}"/>
    <cellStyle name="40% - Accent4 3 3 2 2" xfId="959" xr:uid="{00000000-0005-0000-0000-0000C6060000}"/>
    <cellStyle name="40% - Accent4 3 3 2 2 2" xfId="1757" xr:uid="{00000000-0005-0000-0000-0000C7060000}"/>
    <cellStyle name="40% - Accent4 3 3 2 2 2 2" xfId="3353" xr:uid="{00000000-0005-0000-0000-0000C8060000}"/>
    <cellStyle name="40% - Accent4 3 3 2 2 3" xfId="2555" xr:uid="{00000000-0005-0000-0000-0000C9060000}"/>
    <cellStyle name="40% - Accent4 3 3 2 3" xfId="1358" xr:uid="{00000000-0005-0000-0000-0000CA060000}"/>
    <cellStyle name="40% - Accent4 3 3 2 3 2" xfId="2954" xr:uid="{00000000-0005-0000-0000-0000CB060000}"/>
    <cellStyle name="40% - Accent4 3 3 2 4" xfId="2156" xr:uid="{00000000-0005-0000-0000-0000CC060000}"/>
    <cellStyle name="40% - Accent4 3 3 3" xfId="760" xr:uid="{00000000-0005-0000-0000-0000CD060000}"/>
    <cellStyle name="40% - Accent4 3 3 3 2" xfId="1557" xr:uid="{00000000-0005-0000-0000-0000CE060000}"/>
    <cellStyle name="40% - Accent4 3 3 3 2 2" xfId="3153" xr:uid="{00000000-0005-0000-0000-0000CF060000}"/>
    <cellStyle name="40% - Accent4 3 3 3 3" xfId="2355" xr:uid="{00000000-0005-0000-0000-0000D0060000}"/>
    <cellStyle name="40% - Accent4 3 3 4" xfId="1158" xr:uid="{00000000-0005-0000-0000-0000D1060000}"/>
    <cellStyle name="40% - Accent4 3 3 4 2" xfId="2754" xr:uid="{00000000-0005-0000-0000-0000D2060000}"/>
    <cellStyle name="40% - Accent4 3 3 5" xfId="1956" xr:uid="{00000000-0005-0000-0000-0000D3060000}"/>
    <cellStyle name="40% - Accent4 3 4" xfId="559" xr:uid="{00000000-0005-0000-0000-0000D4060000}"/>
    <cellStyle name="40% - Accent4 3 4 2" xfId="957" xr:uid="{00000000-0005-0000-0000-0000D5060000}"/>
    <cellStyle name="40% - Accent4 3 4 2 2" xfId="1755" xr:uid="{00000000-0005-0000-0000-0000D6060000}"/>
    <cellStyle name="40% - Accent4 3 4 2 2 2" xfId="3351" xr:uid="{00000000-0005-0000-0000-0000D7060000}"/>
    <cellStyle name="40% - Accent4 3 4 2 3" xfId="2553" xr:uid="{00000000-0005-0000-0000-0000D8060000}"/>
    <cellStyle name="40% - Accent4 3 4 3" xfId="1356" xr:uid="{00000000-0005-0000-0000-0000D9060000}"/>
    <cellStyle name="40% - Accent4 3 4 3 2" xfId="2952" xr:uid="{00000000-0005-0000-0000-0000DA060000}"/>
    <cellStyle name="40% - Accent4 3 4 4" xfId="2154" xr:uid="{00000000-0005-0000-0000-0000DB060000}"/>
    <cellStyle name="40% - Accent4 3 5" xfId="758" xr:uid="{00000000-0005-0000-0000-0000DC060000}"/>
    <cellStyle name="40% - Accent4 3 5 2" xfId="1555" xr:uid="{00000000-0005-0000-0000-0000DD060000}"/>
    <cellStyle name="40% - Accent4 3 5 2 2" xfId="3151" xr:uid="{00000000-0005-0000-0000-0000DE060000}"/>
    <cellStyle name="40% - Accent4 3 5 3" xfId="2353" xr:uid="{00000000-0005-0000-0000-0000DF060000}"/>
    <cellStyle name="40% - Accent4 3 6" xfId="1156" xr:uid="{00000000-0005-0000-0000-0000E0060000}"/>
    <cellStyle name="40% - Accent4 3 6 2" xfId="2752" xr:uid="{00000000-0005-0000-0000-0000E1060000}"/>
    <cellStyle name="40% - Accent4 3 7" xfId="1954" xr:uid="{00000000-0005-0000-0000-0000E2060000}"/>
    <cellStyle name="40% - Accent4 4" xfId="156" xr:uid="{00000000-0005-0000-0000-0000E3060000}"/>
    <cellStyle name="40% - Accent4 4 2" xfId="562" xr:uid="{00000000-0005-0000-0000-0000E4060000}"/>
    <cellStyle name="40% - Accent4 4 2 2" xfId="960" xr:uid="{00000000-0005-0000-0000-0000E5060000}"/>
    <cellStyle name="40% - Accent4 4 2 2 2" xfId="1758" xr:uid="{00000000-0005-0000-0000-0000E6060000}"/>
    <cellStyle name="40% - Accent4 4 2 2 2 2" xfId="3354" xr:uid="{00000000-0005-0000-0000-0000E7060000}"/>
    <cellStyle name="40% - Accent4 4 2 2 3" xfId="2556" xr:uid="{00000000-0005-0000-0000-0000E8060000}"/>
    <cellStyle name="40% - Accent4 4 2 3" xfId="1359" xr:uid="{00000000-0005-0000-0000-0000E9060000}"/>
    <cellStyle name="40% - Accent4 4 2 3 2" xfId="2955" xr:uid="{00000000-0005-0000-0000-0000EA060000}"/>
    <cellStyle name="40% - Accent4 4 2 4" xfId="2157" xr:uid="{00000000-0005-0000-0000-0000EB060000}"/>
    <cellStyle name="40% - Accent4 4 3" xfId="761" xr:uid="{00000000-0005-0000-0000-0000EC060000}"/>
    <cellStyle name="40% - Accent4 4 3 2" xfId="1558" xr:uid="{00000000-0005-0000-0000-0000ED060000}"/>
    <cellStyle name="40% - Accent4 4 3 2 2" xfId="3154" xr:uid="{00000000-0005-0000-0000-0000EE060000}"/>
    <cellStyle name="40% - Accent4 4 3 3" xfId="2356" xr:uid="{00000000-0005-0000-0000-0000EF060000}"/>
    <cellStyle name="40% - Accent4 4 4" xfId="1159" xr:uid="{00000000-0005-0000-0000-0000F0060000}"/>
    <cellStyle name="40% - Accent4 4 4 2" xfId="2755" xr:uid="{00000000-0005-0000-0000-0000F1060000}"/>
    <cellStyle name="40% - Accent4 4 5" xfId="1957" xr:uid="{00000000-0005-0000-0000-0000F2060000}"/>
    <cellStyle name="40% - Accent4 5" xfId="382" xr:uid="{00000000-0005-0000-0000-0000F3060000}"/>
    <cellStyle name="40% - Accent4 5 2" xfId="563" xr:uid="{00000000-0005-0000-0000-0000F4060000}"/>
    <cellStyle name="40% - Accent4 5 2 2" xfId="961" xr:uid="{00000000-0005-0000-0000-0000F5060000}"/>
    <cellStyle name="40% - Accent4 5 2 2 2" xfId="1759" xr:uid="{00000000-0005-0000-0000-0000F6060000}"/>
    <cellStyle name="40% - Accent4 5 2 2 2 2" xfId="3355" xr:uid="{00000000-0005-0000-0000-0000F7060000}"/>
    <cellStyle name="40% - Accent4 5 2 2 3" xfId="2557" xr:uid="{00000000-0005-0000-0000-0000F8060000}"/>
    <cellStyle name="40% - Accent4 5 2 3" xfId="1360" xr:uid="{00000000-0005-0000-0000-0000F9060000}"/>
    <cellStyle name="40% - Accent4 5 2 3 2" xfId="2956" xr:uid="{00000000-0005-0000-0000-0000FA060000}"/>
    <cellStyle name="40% - Accent4 5 2 4" xfId="2158" xr:uid="{00000000-0005-0000-0000-0000FB060000}"/>
    <cellStyle name="40% - Accent4 5 3" xfId="762" xr:uid="{00000000-0005-0000-0000-0000FC060000}"/>
    <cellStyle name="40% - Accent4 5 3 2" xfId="1559" xr:uid="{00000000-0005-0000-0000-0000FD060000}"/>
    <cellStyle name="40% - Accent4 5 3 2 2" xfId="3155" xr:uid="{00000000-0005-0000-0000-0000FE060000}"/>
    <cellStyle name="40% - Accent4 5 3 3" xfId="2357" xr:uid="{00000000-0005-0000-0000-0000FF060000}"/>
    <cellStyle name="40% - Accent4 5 4" xfId="1160" xr:uid="{00000000-0005-0000-0000-000000070000}"/>
    <cellStyle name="40% - Accent4 5 4 2" xfId="2756" xr:uid="{00000000-0005-0000-0000-000001070000}"/>
    <cellStyle name="40% - Accent4 5 5" xfId="1958" xr:uid="{00000000-0005-0000-0000-000002070000}"/>
    <cellStyle name="40% - Accent4 6" xfId="294" xr:uid="{00000000-0005-0000-0000-000003070000}"/>
    <cellStyle name="40% - Accent5" xfId="42" builtinId="47" customBuiltin="1"/>
    <cellStyle name="40% - Accent5 2" xfId="59" xr:uid="{00000000-0005-0000-0000-000005070000}"/>
    <cellStyle name="40% - Accent5 2 2" xfId="192" xr:uid="{00000000-0005-0000-0000-000006070000}"/>
    <cellStyle name="40% - Accent5 2 2 2" xfId="384" xr:uid="{00000000-0005-0000-0000-000007070000}"/>
    <cellStyle name="40% - Accent5 2 2 2 2" xfId="566" xr:uid="{00000000-0005-0000-0000-000008070000}"/>
    <cellStyle name="40% - Accent5 2 2 2 2 2" xfId="964" xr:uid="{00000000-0005-0000-0000-000009070000}"/>
    <cellStyle name="40% - Accent5 2 2 2 2 2 2" xfId="1762" xr:uid="{00000000-0005-0000-0000-00000A070000}"/>
    <cellStyle name="40% - Accent5 2 2 2 2 2 2 2" xfId="3358" xr:uid="{00000000-0005-0000-0000-00000B070000}"/>
    <cellStyle name="40% - Accent5 2 2 2 2 2 3" xfId="2560" xr:uid="{00000000-0005-0000-0000-00000C070000}"/>
    <cellStyle name="40% - Accent5 2 2 2 2 3" xfId="1363" xr:uid="{00000000-0005-0000-0000-00000D070000}"/>
    <cellStyle name="40% - Accent5 2 2 2 2 3 2" xfId="2959" xr:uid="{00000000-0005-0000-0000-00000E070000}"/>
    <cellStyle name="40% - Accent5 2 2 2 2 4" xfId="2161" xr:uid="{00000000-0005-0000-0000-00000F070000}"/>
    <cellStyle name="40% - Accent5 2 2 2 3" xfId="765" xr:uid="{00000000-0005-0000-0000-000010070000}"/>
    <cellStyle name="40% - Accent5 2 2 2 3 2" xfId="1562" xr:uid="{00000000-0005-0000-0000-000011070000}"/>
    <cellStyle name="40% - Accent5 2 2 2 3 2 2" xfId="3158" xr:uid="{00000000-0005-0000-0000-000012070000}"/>
    <cellStyle name="40% - Accent5 2 2 2 3 3" xfId="2360" xr:uid="{00000000-0005-0000-0000-000013070000}"/>
    <cellStyle name="40% - Accent5 2 2 2 4" xfId="1163" xr:uid="{00000000-0005-0000-0000-000014070000}"/>
    <cellStyle name="40% - Accent5 2 2 2 4 2" xfId="2759" xr:uid="{00000000-0005-0000-0000-000015070000}"/>
    <cellStyle name="40% - Accent5 2 2 2 5" xfId="1961" xr:uid="{00000000-0005-0000-0000-000016070000}"/>
    <cellStyle name="40% - Accent5 2 2 3" xfId="385" xr:uid="{00000000-0005-0000-0000-000017070000}"/>
    <cellStyle name="40% - Accent5 2 2 3 2" xfId="567" xr:uid="{00000000-0005-0000-0000-000018070000}"/>
    <cellStyle name="40% - Accent5 2 2 3 2 2" xfId="965" xr:uid="{00000000-0005-0000-0000-000019070000}"/>
    <cellStyle name="40% - Accent5 2 2 3 2 2 2" xfId="1763" xr:uid="{00000000-0005-0000-0000-00001A070000}"/>
    <cellStyle name="40% - Accent5 2 2 3 2 2 2 2" xfId="3359" xr:uid="{00000000-0005-0000-0000-00001B070000}"/>
    <cellStyle name="40% - Accent5 2 2 3 2 2 3" xfId="2561" xr:uid="{00000000-0005-0000-0000-00001C070000}"/>
    <cellStyle name="40% - Accent5 2 2 3 2 3" xfId="1364" xr:uid="{00000000-0005-0000-0000-00001D070000}"/>
    <cellStyle name="40% - Accent5 2 2 3 2 3 2" xfId="2960" xr:uid="{00000000-0005-0000-0000-00001E070000}"/>
    <cellStyle name="40% - Accent5 2 2 3 2 4" xfId="2162" xr:uid="{00000000-0005-0000-0000-00001F070000}"/>
    <cellStyle name="40% - Accent5 2 2 3 3" xfId="766" xr:uid="{00000000-0005-0000-0000-000020070000}"/>
    <cellStyle name="40% - Accent5 2 2 3 3 2" xfId="1563" xr:uid="{00000000-0005-0000-0000-000021070000}"/>
    <cellStyle name="40% - Accent5 2 2 3 3 2 2" xfId="3159" xr:uid="{00000000-0005-0000-0000-000022070000}"/>
    <cellStyle name="40% - Accent5 2 2 3 3 3" xfId="2361" xr:uid="{00000000-0005-0000-0000-000023070000}"/>
    <cellStyle name="40% - Accent5 2 2 3 4" xfId="1164" xr:uid="{00000000-0005-0000-0000-000024070000}"/>
    <cellStyle name="40% - Accent5 2 2 3 4 2" xfId="2760" xr:uid="{00000000-0005-0000-0000-000025070000}"/>
    <cellStyle name="40% - Accent5 2 2 3 5" xfId="1962" xr:uid="{00000000-0005-0000-0000-000026070000}"/>
    <cellStyle name="40% - Accent5 2 2 4" xfId="565" xr:uid="{00000000-0005-0000-0000-000027070000}"/>
    <cellStyle name="40% - Accent5 2 2 4 2" xfId="963" xr:uid="{00000000-0005-0000-0000-000028070000}"/>
    <cellStyle name="40% - Accent5 2 2 4 2 2" xfId="1761" xr:uid="{00000000-0005-0000-0000-000029070000}"/>
    <cellStyle name="40% - Accent5 2 2 4 2 2 2" xfId="3357" xr:uid="{00000000-0005-0000-0000-00002A070000}"/>
    <cellStyle name="40% - Accent5 2 2 4 2 3" xfId="2559" xr:uid="{00000000-0005-0000-0000-00002B070000}"/>
    <cellStyle name="40% - Accent5 2 2 4 3" xfId="1362" xr:uid="{00000000-0005-0000-0000-00002C070000}"/>
    <cellStyle name="40% - Accent5 2 2 4 3 2" xfId="2958" xr:uid="{00000000-0005-0000-0000-00002D070000}"/>
    <cellStyle name="40% - Accent5 2 2 4 4" xfId="2160" xr:uid="{00000000-0005-0000-0000-00002E070000}"/>
    <cellStyle name="40% - Accent5 2 2 5" xfId="764" xr:uid="{00000000-0005-0000-0000-00002F070000}"/>
    <cellStyle name="40% - Accent5 2 2 5 2" xfId="1561" xr:uid="{00000000-0005-0000-0000-000030070000}"/>
    <cellStyle name="40% - Accent5 2 2 5 2 2" xfId="3157" xr:uid="{00000000-0005-0000-0000-000031070000}"/>
    <cellStyle name="40% - Accent5 2 2 5 3" xfId="2359" xr:uid="{00000000-0005-0000-0000-000032070000}"/>
    <cellStyle name="40% - Accent5 2 2 6" xfId="1162" xr:uid="{00000000-0005-0000-0000-000033070000}"/>
    <cellStyle name="40% - Accent5 2 2 6 2" xfId="2758" xr:uid="{00000000-0005-0000-0000-000034070000}"/>
    <cellStyle name="40% - Accent5 2 2 7" xfId="1960" xr:uid="{00000000-0005-0000-0000-000035070000}"/>
    <cellStyle name="40% - Accent5 2 2 8" xfId="383" xr:uid="{00000000-0005-0000-0000-000036070000}"/>
    <cellStyle name="40% - Accent5 2 3" xfId="223" xr:uid="{00000000-0005-0000-0000-000037070000}"/>
    <cellStyle name="40% - Accent5 2 3 2" xfId="568" xr:uid="{00000000-0005-0000-0000-000038070000}"/>
    <cellStyle name="40% - Accent5 2 3 2 2" xfId="966" xr:uid="{00000000-0005-0000-0000-000039070000}"/>
    <cellStyle name="40% - Accent5 2 3 2 2 2" xfId="1764" xr:uid="{00000000-0005-0000-0000-00003A070000}"/>
    <cellStyle name="40% - Accent5 2 3 2 2 2 2" xfId="3360" xr:uid="{00000000-0005-0000-0000-00003B070000}"/>
    <cellStyle name="40% - Accent5 2 3 2 2 3" xfId="2562" xr:uid="{00000000-0005-0000-0000-00003C070000}"/>
    <cellStyle name="40% - Accent5 2 3 2 3" xfId="1365" xr:uid="{00000000-0005-0000-0000-00003D070000}"/>
    <cellStyle name="40% - Accent5 2 3 2 3 2" xfId="2961" xr:uid="{00000000-0005-0000-0000-00003E070000}"/>
    <cellStyle name="40% - Accent5 2 3 2 4" xfId="2163" xr:uid="{00000000-0005-0000-0000-00003F070000}"/>
    <cellStyle name="40% - Accent5 2 3 3" xfId="767" xr:uid="{00000000-0005-0000-0000-000040070000}"/>
    <cellStyle name="40% - Accent5 2 3 3 2" xfId="1564" xr:uid="{00000000-0005-0000-0000-000041070000}"/>
    <cellStyle name="40% - Accent5 2 3 3 2 2" xfId="3160" xr:uid="{00000000-0005-0000-0000-000042070000}"/>
    <cellStyle name="40% - Accent5 2 3 3 3" xfId="2362" xr:uid="{00000000-0005-0000-0000-000043070000}"/>
    <cellStyle name="40% - Accent5 2 3 4" xfId="1165" xr:uid="{00000000-0005-0000-0000-000044070000}"/>
    <cellStyle name="40% - Accent5 2 3 4 2" xfId="2761" xr:uid="{00000000-0005-0000-0000-000045070000}"/>
    <cellStyle name="40% - Accent5 2 3 5" xfId="1963" xr:uid="{00000000-0005-0000-0000-000046070000}"/>
    <cellStyle name="40% - Accent5 2 3 6" xfId="386" xr:uid="{00000000-0005-0000-0000-000047070000}"/>
    <cellStyle name="40% - Accent5 2 4" xfId="129" xr:uid="{00000000-0005-0000-0000-000048070000}"/>
    <cellStyle name="40% - Accent5 2 4 2" xfId="569" xr:uid="{00000000-0005-0000-0000-000049070000}"/>
    <cellStyle name="40% - Accent5 2 4 2 2" xfId="967" xr:uid="{00000000-0005-0000-0000-00004A070000}"/>
    <cellStyle name="40% - Accent5 2 4 2 2 2" xfId="1765" xr:uid="{00000000-0005-0000-0000-00004B070000}"/>
    <cellStyle name="40% - Accent5 2 4 2 2 2 2" xfId="3361" xr:uid="{00000000-0005-0000-0000-00004C070000}"/>
    <cellStyle name="40% - Accent5 2 4 2 2 3" xfId="2563" xr:uid="{00000000-0005-0000-0000-00004D070000}"/>
    <cellStyle name="40% - Accent5 2 4 2 3" xfId="1366" xr:uid="{00000000-0005-0000-0000-00004E070000}"/>
    <cellStyle name="40% - Accent5 2 4 2 3 2" xfId="2962" xr:uid="{00000000-0005-0000-0000-00004F070000}"/>
    <cellStyle name="40% - Accent5 2 4 2 4" xfId="2164" xr:uid="{00000000-0005-0000-0000-000050070000}"/>
    <cellStyle name="40% - Accent5 2 4 3" xfId="768" xr:uid="{00000000-0005-0000-0000-000051070000}"/>
    <cellStyle name="40% - Accent5 2 4 3 2" xfId="1565" xr:uid="{00000000-0005-0000-0000-000052070000}"/>
    <cellStyle name="40% - Accent5 2 4 3 2 2" xfId="3161" xr:uid="{00000000-0005-0000-0000-000053070000}"/>
    <cellStyle name="40% - Accent5 2 4 3 3" xfId="2363" xr:uid="{00000000-0005-0000-0000-000054070000}"/>
    <cellStyle name="40% - Accent5 2 4 4" xfId="1166" xr:uid="{00000000-0005-0000-0000-000055070000}"/>
    <cellStyle name="40% - Accent5 2 4 4 2" xfId="2762" xr:uid="{00000000-0005-0000-0000-000056070000}"/>
    <cellStyle name="40% - Accent5 2 4 5" xfId="1964" xr:uid="{00000000-0005-0000-0000-000057070000}"/>
    <cellStyle name="40% - Accent5 2 5" xfId="564" xr:uid="{00000000-0005-0000-0000-000058070000}"/>
    <cellStyle name="40% - Accent5 2 5 2" xfId="962" xr:uid="{00000000-0005-0000-0000-000059070000}"/>
    <cellStyle name="40% - Accent5 2 5 2 2" xfId="1760" xr:uid="{00000000-0005-0000-0000-00005A070000}"/>
    <cellStyle name="40% - Accent5 2 5 2 2 2" xfId="3356" xr:uid="{00000000-0005-0000-0000-00005B070000}"/>
    <cellStyle name="40% - Accent5 2 5 2 3" xfId="2558" xr:uid="{00000000-0005-0000-0000-00005C070000}"/>
    <cellStyle name="40% - Accent5 2 5 3" xfId="1361" xr:uid="{00000000-0005-0000-0000-00005D070000}"/>
    <cellStyle name="40% - Accent5 2 5 3 2" xfId="2957" xr:uid="{00000000-0005-0000-0000-00005E070000}"/>
    <cellStyle name="40% - Accent5 2 5 4" xfId="2159" xr:uid="{00000000-0005-0000-0000-00005F070000}"/>
    <cellStyle name="40% - Accent5 2 6" xfId="763" xr:uid="{00000000-0005-0000-0000-000060070000}"/>
    <cellStyle name="40% - Accent5 2 6 2" xfId="1560" xr:uid="{00000000-0005-0000-0000-000061070000}"/>
    <cellStyle name="40% - Accent5 2 6 2 2" xfId="3156" xr:uid="{00000000-0005-0000-0000-000062070000}"/>
    <cellStyle name="40% - Accent5 2 6 3" xfId="2358" xr:uid="{00000000-0005-0000-0000-000063070000}"/>
    <cellStyle name="40% - Accent5 2 7" xfId="1161" xr:uid="{00000000-0005-0000-0000-000064070000}"/>
    <cellStyle name="40% - Accent5 2 7 2" xfId="2757" xr:uid="{00000000-0005-0000-0000-000065070000}"/>
    <cellStyle name="40% - Accent5 2 8" xfId="1959" xr:uid="{00000000-0005-0000-0000-000066070000}"/>
    <cellStyle name="40% - Accent5 3" xfId="144" xr:uid="{00000000-0005-0000-0000-000067070000}"/>
    <cellStyle name="40% - Accent5 3 2" xfId="387" xr:uid="{00000000-0005-0000-0000-000068070000}"/>
    <cellStyle name="40% - Accent5 3 2 2" xfId="571" xr:uid="{00000000-0005-0000-0000-000069070000}"/>
    <cellStyle name="40% - Accent5 3 2 2 2" xfId="969" xr:uid="{00000000-0005-0000-0000-00006A070000}"/>
    <cellStyle name="40% - Accent5 3 2 2 2 2" xfId="1767" xr:uid="{00000000-0005-0000-0000-00006B070000}"/>
    <cellStyle name="40% - Accent5 3 2 2 2 2 2" xfId="3363" xr:uid="{00000000-0005-0000-0000-00006C070000}"/>
    <cellStyle name="40% - Accent5 3 2 2 2 3" xfId="2565" xr:uid="{00000000-0005-0000-0000-00006D070000}"/>
    <cellStyle name="40% - Accent5 3 2 2 3" xfId="1368" xr:uid="{00000000-0005-0000-0000-00006E070000}"/>
    <cellStyle name="40% - Accent5 3 2 2 3 2" xfId="2964" xr:uid="{00000000-0005-0000-0000-00006F070000}"/>
    <cellStyle name="40% - Accent5 3 2 2 4" xfId="2166" xr:uid="{00000000-0005-0000-0000-000070070000}"/>
    <cellStyle name="40% - Accent5 3 2 3" xfId="770" xr:uid="{00000000-0005-0000-0000-000071070000}"/>
    <cellStyle name="40% - Accent5 3 2 3 2" xfId="1567" xr:uid="{00000000-0005-0000-0000-000072070000}"/>
    <cellStyle name="40% - Accent5 3 2 3 2 2" xfId="3163" xr:uid="{00000000-0005-0000-0000-000073070000}"/>
    <cellStyle name="40% - Accent5 3 2 3 3" xfId="2365" xr:uid="{00000000-0005-0000-0000-000074070000}"/>
    <cellStyle name="40% - Accent5 3 2 4" xfId="1168" xr:uid="{00000000-0005-0000-0000-000075070000}"/>
    <cellStyle name="40% - Accent5 3 2 4 2" xfId="2764" xr:uid="{00000000-0005-0000-0000-000076070000}"/>
    <cellStyle name="40% - Accent5 3 2 5" xfId="1966" xr:uid="{00000000-0005-0000-0000-000077070000}"/>
    <cellStyle name="40% - Accent5 3 3" xfId="388" xr:uid="{00000000-0005-0000-0000-000078070000}"/>
    <cellStyle name="40% - Accent5 3 3 2" xfId="572" xr:uid="{00000000-0005-0000-0000-000079070000}"/>
    <cellStyle name="40% - Accent5 3 3 2 2" xfId="970" xr:uid="{00000000-0005-0000-0000-00007A070000}"/>
    <cellStyle name="40% - Accent5 3 3 2 2 2" xfId="1768" xr:uid="{00000000-0005-0000-0000-00007B070000}"/>
    <cellStyle name="40% - Accent5 3 3 2 2 2 2" xfId="3364" xr:uid="{00000000-0005-0000-0000-00007C070000}"/>
    <cellStyle name="40% - Accent5 3 3 2 2 3" xfId="2566" xr:uid="{00000000-0005-0000-0000-00007D070000}"/>
    <cellStyle name="40% - Accent5 3 3 2 3" xfId="1369" xr:uid="{00000000-0005-0000-0000-00007E070000}"/>
    <cellStyle name="40% - Accent5 3 3 2 3 2" xfId="2965" xr:uid="{00000000-0005-0000-0000-00007F070000}"/>
    <cellStyle name="40% - Accent5 3 3 2 4" xfId="2167" xr:uid="{00000000-0005-0000-0000-000080070000}"/>
    <cellStyle name="40% - Accent5 3 3 3" xfId="771" xr:uid="{00000000-0005-0000-0000-000081070000}"/>
    <cellStyle name="40% - Accent5 3 3 3 2" xfId="1568" xr:uid="{00000000-0005-0000-0000-000082070000}"/>
    <cellStyle name="40% - Accent5 3 3 3 2 2" xfId="3164" xr:uid="{00000000-0005-0000-0000-000083070000}"/>
    <cellStyle name="40% - Accent5 3 3 3 3" xfId="2366" xr:uid="{00000000-0005-0000-0000-000084070000}"/>
    <cellStyle name="40% - Accent5 3 3 4" xfId="1169" xr:uid="{00000000-0005-0000-0000-000085070000}"/>
    <cellStyle name="40% - Accent5 3 3 4 2" xfId="2765" xr:uid="{00000000-0005-0000-0000-000086070000}"/>
    <cellStyle name="40% - Accent5 3 3 5" xfId="1967" xr:uid="{00000000-0005-0000-0000-000087070000}"/>
    <cellStyle name="40% - Accent5 3 4" xfId="570" xr:uid="{00000000-0005-0000-0000-000088070000}"/>
    <cellStyle name="40% - Accent5 3 4 2" xfId="968" xr:uid="{00000000-0005-0000-0000-000089070000}"/>
    <cellStyle name="40% - Accent5 3 4 2 2" xfId="1766" xr:uid="{00000000-0005-0000-0000-00008A070000}"/>
    <cellStyle name="40% - Accent5 3 4 2 2 2" xfId="3362" xr:uid="{00000000-0005-0000-0000-00008B070000}"/>
    <cellStyle name="40% - Accent5 3 4 2 3" xfId="2564" xr:uid="{00000000-0005-0000-0000-00008C070000}"/>
    <cellStyle name="40% - Accent5 3 4 3" xfId="1367" xr:uid="{00000000-0005-0000-0000-00008D070000}"/>
    <cellStyle name="40% - Accent5 3 4 3 2" xfId="2963" xr:uid="{00000000-0005-0000-0000-00008E070000}"/>
    <cellStyle name="40% - Accent5 3 4 4" xfId="2165" xr:uid="{00000000-0005-0000-0000-00008F070000}"/>
    <cellStyle name="40% - Accent5 3 5" xfId="769" xr:uid="{00000000-0005-0000-0000-000090070000}"/>
    <cellStyle name="40% - Accent5 3 5 2" xfId="1566" xr:uid="{00000000-0005-0000-0000-000091070000}"/>
    <cellStyle name="40% - Accent5 3 5 2 2" xfId="3162" xr:uid="{00000000-0005-0000-0000-000092070000}"/>
    <cellStyle name="40% - Accent5 3 5 3" xfId="2364" xr:uid="{00000000-0005-0000-0000-000093070000}"/>
    <cellStyle name="40% - Accent5 3 6" xfId="1167" xr:uid="{00000000-0005-0000-0000-000094070000}"/>
    <cellStyle name="40% - Accent5 3 6 2" xfId="2763" xr:uid="{00000000-0005-0000-0000-000095070000}"/>
    <cellStyle name="40% - Accent5 3 7" xfId="1965" xr:uid="{00000000-0005-0000-0000-000096070000}"/>
    <cellStyle name="40% - Accent5 4" xfId="158" xr:uid="{00000000-0005-0000-0000-000097070000}"/>
    <cellStyle name="40% - Accent5 4 2" xfId="573" xr:uid="{00000000-0005-0000-0000-000098070000}"/>
    <cellStyle name="40% - Accent5 4 2 2" xfId="971" xr:uid="{00000000-0005-0000-0000-000099070000}"/>
    <cellStyle name="40% - Accent5 4 2 2 2" xfId="1769" xr:uid="{00000000-0005-0000-0000-00009A070000}"/>
    <cellStyle name="40% - Accent5 4 2 2 2 2" xfId="3365" xr:uid="{00000000-0005-0000-0000-00009B070000}"/>
    <cellStyle name="40% - Accent5 4 2 2 3" xfId="2567" xr:uid="{00000000-0005-0000-0000-00009C070000}"/>
    <cellStyle name="40% - Accent5 4 2 3" xfId="1370" xr:uid="{00000000-0005-0000-0000-00009D070000}"/>
    <cellStyle name="40% - Accent5 4 2 3 2" xfId="2966" xr:uid="{00000000-0005-0000-0000-00009E070000}"/>
    <cellStyle name="40% - Accent5 4 2 4" xfId="2168" xr:uid="{00000000-0005-0000-0000-00009F070000}"/>
    <cellStyle name="40% - Accent5 4 3" xfId="772" xr:uid="{00000000-0005-0000-0000-0000A0070000}"/>
    <cellStyle name="40% - Accent5 4 3 2" xfId="1569" xr:uid="{00000000-0005-0000-0000-0000A1070000}"/>
    <cellStyle name="40% - Accent5 4 3 2 2" xfId="3165" xr:uid="{00000000-0005-0000-0000-0000A2070000}"/>
    <cellStyle name="40% - Accent5 4 3 3" xfId="2367" xr:uid="{00000000-0005-0000-0000-0000A3070000}"/>
    <cellStyle name="40% - Accent5 4 4" xfId="1170" xr:uid="{00000000-0005-0000-0000-0000A4070000}"/>
    <cellStyle name="40% - Accent5 4 4 2" xfId="2766" xr:uid="{00000000-0005-0000-0000-0000A5070000}"/>
    <cellStyle name="40% - Accent5 4 5" xfId="1968" xr:uid="{00000000-0005-0000-0000-0000A6070000}"/>
    <cellStyle name="40% - Accent5 5" xfId="389" xr:uid="{00000000-0005-0000-0000-0000A7070000}"/>
    <cellStyle name="40% - Accent5 5 2" xfId="574" xr:uid="{00000000-0005-0000-0000-0000A8070000}"/>
    <cellStyle name="40% - Accent5 5 2 2" xfId="972" xr:uid="{00000000-0005-0000-0000-0000A9070000}"/>
    <cellStyle name="40% - Accent5 5 2 2 2" xfId="1770" xr:uid="{00000000-0005-0000-0000-0000AA070000}"/>
    <cellStyle name="40% - Accent5 5 2 2 2 2" xfId="3366" xr:uid="{00000000-0005-0000-0000-0000AB070000}"/>
    <cellStyle name="40% - Accent5 5 2 2 3" xfId="2568" xr:uid="{00000000-0005-0000-0000-0000AC070000}"/>
    <cellStyle name="40% - Accent5 5 2 3" xfId="1371" xr:uid="{00000000-0005-0000-0000-0000AD070000}"/>
    <cellStyle name="40% - Accent5 5 2 3 2" xfId="2967" xr:uid="{00000000-0005-0000-0000-0000AE070000}"/>
    <cellStyle name="40% - Accent5 5 2 4" xfId="2169" xr:uid="{00000000-0005-0000-0000-0000AF070000}"/>
    <cellStyle name="40% - Accent5 5 3" xfId="773" xr:uid="{00000000-0005-0000-0000-0000B0070000}"/>
    <cellStyle name="40% - Accent5 5 3 2" xfId="1570" xr:uid="{00000000-0005-0000-0000-0000B1070000}"/>
    <cellStyle name="40% - Accent5 5 3 2 2" xfId="3166" xr:uid="{00000000-0005-0000-0000-0000B2070000}"/>
    <cellStyle name="40% - Accent5 5 3 3" xfId="2368" xr:uid="{00000000-0005-0000-0000-0000B3070000}"/>
    <cellStyle name="40% - Accent5 5 4" xfId="1171" xr:uid="{00000000-0005-0000-0000-0000B4070000}"/>
    <cellStyle name="40% - Accent5 5 4 2" xfId="2767" xr:uid="{00000000-0005-0000-0000-0000B5070000}"/>
    <cellStyle name="40% - Accent5 5 5" xfId="1969" xr:uid="{00000000-0005-0000-0000-0000B6070000}"/>
    <cellStyle name="40% - Accent6" xfId="46" builtinId="51" customBuiltin="1"/>
    <cellStyle name="40% - Accent6 2" xfId="60" xr:uid="{00000000-0005-0000-0000-0000B8070000}"/>
    <cellStyle name="40% - Accent6 2 2" xfId="189" xr:uid="{00000000-0005-0000-0000-0000B9070000}"/>
    <cellStyle name="40% - Accent6 2 2 2" xfId="391" xr:uid="{00000000-0005-0000-0000-0000BA070000}"/>
    <cellStyle name="40% - Accent6 2 2 2 2" xfId="577" xr:uid="{00000000-0005-0000-0000-0000BB070000}"/>
    <cellStyle name="40% - Accent6 2 2 2 2 2" xfId="975" xr:uid="{00000000-0005-0000-0000-0000BC070000}"/>
    <cellStyle name="40% - Accent6 2 2 2 2 2 2" xfId="1773" xr:uid="{00000000-0005-0000-0000-0000BD070000}"/>
    <cellStyle name="40% - Accent6 2 2 2 2 2 2 2" xfId="3369" xr:uid="{00000000-0005-0000-0000-0000BE070000}"/>
    <cellStyle name="40% - Accent6 2 2 2 2 2 3" xfId="2571" xr:uid="{00000000-0005-0000-0000-0000BF070000}"/>
    <cellStyle name="40% - Accent6 2 2 2 2 3" xfId="1374" xr:uid="{00000000-0005-0000-0000-0000C0070000}"/>
    <cellStyle name="40% - Accent6 2 2 2 2 3 2" xfId="2970" xr:uid="{00000000-0005-0000-0000-0000C1070000}"/>
    <cellStyle name="40% - Accent6 2 2 2 2 4" xfId="2172" xr:uid="{00000000-0005-0000-0000-0000C2070000}"/>
    <cellStyle name="40% - Accent6 2 2 2 3" xfId="776" xr:uid="{00000000-0005-0000-0000-0000C3070000}"/>
    <cellStyle name="40% - Accent6 2 2 2 3 2" xfId="1573" xr:uid="{00000000-0005-0000-0000-0000C4070000}"/>
    <cellStyle name="40% - Accent6 2 2 2 3 2 2" xfId="3169" xr:uid="{00000000-0005-0000-0000-0000C5070000}"/>
    <cellStyle name="40% - Accent6 2 2 2 3 3" xfId="2371" xr:uid="{00000000-0005-0000-0000-0000C6070000}"/>
    <cellStyle name="40% - Accent6 2 2 2 4" xfId="1174" xr:uid="{00000000-0005-0000-0000-0000C7070000}"/>
    <cellStyle name="40% - Accent6 2 2 2 4 2" xfId="2770" xr:uid="{00000000-0005-0000-0000-0000C8070000}"/>
    <cellStyle name="40% - Accent6 2 2 2 5" xfId="1972" xr:uid="{00000000-0005-0000-0000-0000C9070000}"/>
    <cellStyle name="40% - Accent6 2 2 3" xfId="392" xr:uid="{00000000-0005-0000-0000-0000CA070000}"/>
    <cellStyle name="40% - Accent6 2 2 3 2" xfId="578" xr:uid="{00000000-0005-0000-0000-0000CB070000}"/>
    <cellStyle name="40% - Accent6 2 2 3 2 2" xfId="976" xr:uid="{00000000-0005-0000-0000-0000CC070000}"/>
    <cellStyle name="40% - Accent6 2 2 3 2 2 2" xfId="1774" xr:uid="{00000000-0005-0000-0000-0000CD070000}"/>
    <cellStyle name="40% - Accent6 2 2 3 2 2 2 2" xfId="3370" xr:uid="{00000000-0005-0000-0000-0000CE070000}"/>
    <cellStyle name="40% - Accent6 2 2 3 2 2 3" xfId="2572" xr:uid="{00000000-0005-0000-0000-0000CF070000}"/>
    <cellStyle name="40% - Accent6 2 2 3 2 3" xfId="1375" xr:uid="{00000000-0005-0000-0000-0000D0070000}"/>
    <cellStyle name="40% - Accent6 2 2 3 2 3 2" xfId="2971" xr:uid="{00000000-0005-0000-0000-0000D1070000}"/>
    <cellStyle name="40% - Accent6 2 2 3 2 4" xfId="2173" xr:uid="{00000000-0005-0000-0000-0000D2070000}"/>
    <cellStyle name="40% - Accent6 2 2 3 3" xfId="777" xr:uid="{00000000-0005-0000-0000-0000D3070000}"/>
    <cellStyle name="40% - Accent6 2 2 3 3 2" xfId="1574" xr:uid="{00000000-0005-0000-0000-0000D4070000}"/>
    <cellStyle name="40% - Accent6 2 2 3 3 2 2" xfId="3170" xr:uid="{00000000-0005-0000-0000-0000D5070000}"/>
    <cellStyle name="40% - Accent6 2 2 3 3 3" xfId="2372" xr:uid="{00000000-0005-0000-0000-0000D6070000}"/>
    <cellStyle name="40% - Accent6 2 2 3 4" xfId="1175" xr:uid="{00000000-0005-0000-0000-0000D7070000}"/>
    <cellStyle name="40% - Accent6 2 2 3 4 2" xfId="2771" xr:uid="{00000000-0005-0000-0000-0000D8070000}"/>
    <cellStyle name="40% - Accent6 2 2 3 5" xfId="1973" xr:uid="{00000000-0005-0000-0000-0000D9070000}"/>
    <cellStyle name="40% - Accent6 2 2 4" xfId="576" xr:uid="{00000000-0005-0000-0000-0000DA070000}"/>
    <cellStyle name="40% - Accent6 2 2 4 2" xfId="974" xr:uid="{00000000-0005-0000-0000-0000DB070000}"/>
    <cellStyle name="40% - Accent6 2 2 4 2 2" xfId="1772" xr:uid="{00000000-0005-0000-0000-0000DC070000}"/>
    <cellStyle name="40% - Accent6 2 2 4 2 2 2" xfId="3368" xr:uid="{00000000-0005-0000-0000-0000DD070000}"/>
    <cellStyle name="40% - Accent6 2 2 4 2 3" xfId="2570" xr:uid="{00000000-0005-0000-0000-0000DE070000}"/>
    <cellStyle name="40% - Accent6 2 2 4 3" xfId="1373" xr:uid="{00000000-0005-0000-0000-0000DF070000}"/>
    <cellStyle name="40% - Accent6 2 2 4 3 2" xfId="2969" xr:uid="{00000000-0005-0000-0000-0000E0070000}"/>
    <cellStyle name="40% - Accent6 2 2 4 4" xfId="2171" xr:uid="{00000000-0005-0000-0000-0000E1070000}"/>
    <cellStyle name="40% - Accent6 2 2 5" xfId="775" xr:uid="{00000000-0005-0000-0000-0000E2070000}"/>
    <cellStyle name="40% - Accent6 2 2 5 2" xfId="1572" xr:uid="{00000000-0005-0000-0000-0000E3070000}"/>
    <cellStyle name="40% - Accent6 2 2 5 2 2" xfId="3168" xr:uid="{00000000-0005-0000-0000-0000E4070000}"/>
    <cellStyle name="40% - Accent6 2 2 5 3" xfId="2370" xr:uid="{00000000-0005-0000-0000-0000E5070000}"/>
    <cellStyle name="40% - Accent6 2 2 6" xfId="1173" xr:uid="{00000000-0005-0000-0000-0000E6070000}"/>
    <cellStyle name="40% - Accent6 2 2 6 2" xfId="2769" xr:uid="{00000000-0005-0000-0000-0000E7070000}"/>
    <cellStyle name="40% - Accent6 2 2 7" xfId="1971" xr:uid="{00000000-0005-0000-0000-0000E8070000}"/>
    <cellStyle name="40% - Accent6 2 2 8" xfId="390" xr:uid="{00000000-0005-0000-0000-0000E9070000}"/>
    <cellStyle name="40% - Accent6 2 3" xfId="222" xr:uid="{00000000-0005-0000-0000-0000EA070000}"/>
    <cellStyle name="40% - Accent6 2 3 2" xfId="579" xr:uid="{00000000-0005-0000-0000-0000EB070000}"/>
    <cellStyle name="40% - Accent6 2 3 2 2" xfId="977" xr:uid="{00000000-0005-0000-0000-0000EC070000}"/>
    <cellStyle name="40% - Accent6 2 3 2 2 2" xfId="1775" xr:uid="{00000000-0005-0000-0000-0000ED070000}"/>
    <cellStyle name="40% - Accent6 2 3 2 2 2 2" xfId="3371" xr:uid="{00000000-0005-0000-0000-0000EE070000}"/>
    <cellStyle name="40% - Accent6 2 3 2 2 3" xfId="2573" xr:uid="{00000000-0005-0000-0000-0000EF070000}"/>
    <cellStyle name="40% - Accent6 2 3 2 3" xfId="1376" xr:uid="{00000000-0005-0000-0000-0000F0070000}"/>
    <cellStyle name="40% - Accent6 2 3 2 3 2" xfId="2972" xr:uid="{00000000-0005-0000-0000-0000F1070000}"/>
    <cellStyle name="40% - Accent6 2 3 2 4" xfId="2174" xr:uid="{00000000-0005-0000-0000-0000F2070000}"/>
    <cellStyle name="40% - Accent6 2 3 3" xfId="778" xr:uid="{00000000-0005-0000-0000-0000F3070000}"/>
    <cellStyle name="40% - Accent6 2 3 3 2" xfId="1575" xr:uid="{00000000-0005-0000-0000-0000F4070000}"/>
    <cellStyle name="40% - Accent6 2 3 3 2 2" xfId="3171" xr:uid="{00000000-0005-0000-0000-0000F5070000}"/>
    <cellStyle name="40% - Accent6 2 3 3 3" xfId="2373" xr:uid="{00000000-0005-0000-0000-0000F6070000}"/>
    <cellStyle name="40% - Accent6 2 3 4" xfId="1176" xr:uid="{00000000-0005-0000-0000-0000F7070000}"/>
    <cellStyle name="40% - Accent6 2 3 4 2" xfId="2772" xr:uid="{00000000-0005-0000-0000-0000F8070000}"/>
    <cellStyle name="40% - Accent6 2 3 5" xfId="1974" xr:uid="{00000000-0005-0000-0000-0000F9070000}"/>
    <cellStyle name="40% - Accent6 2 3 6" xfId="393" xr:uid="{00000000-0005-0000-0000-0000FA070000}"/>
    <cellStyle name="40% - Accent6 2 4" xfId="131" xr:uid="{00000000-0005-0000-0000-0000FB070000}"/>
    <cellStyle name="40% - Accent6 2 4 2" xfId="580" xr:uid="{00000000-0005-0000-0000-0000FC070000}"/>
    <cellStyle name="40% - Accent6 2 4 2 2" xfId="978" xr:uid="{00000000-0005-0000-0000-0000FD070000}"/>
    <cellStyle name="40% - Accent6 2 4 2 2 2" xfId="1776" xr:uid="{00000000-0005-0000-0000-0000FE070000}"/>
    <cellStyle name="40% - Accent6 2 4 2 2 2 2" xfId="3372" xr:uid="{00000000-0005-0000-0000-0000FF070000}"/>
    <cellStyle name="40% - Accent6 2 4 2 2 3" xfId="2574" xr:uid="{00000000-0005-0000-0000-000000080000}"/>
    <cellStyle name="40% - Accent6 2 4 2 3" xfId="1377" xr:uid="{00000000-0005-0000-0000-000001080000}"/>
    <cellStyle name="40% - Accent6 2 4 2 3 2" xfId="2973" xr:uid="{00000000-0005-0000-0000-000002080000}"/>
    <cellStyle name="40% - Accent6 2 4 2 4" xfId="2175" xr:uid="{00000000-0005-0000-0000-000003080000}"/>
    <cellStyle name="40% - Accent6 2 4 3" xfId="779" xr:uid="{00000000-0005-0000-0000-000004080000}"/>
    <cellStyle name="40% - Accent6 2 4 3 2" xfId="1576" xr:uid="{00000000-0005-0000-0000-000005080000}"/>
    <cellStyle name="40% - Accent6 2 4 3 2 2" xfId="3172" xr:uid="{00000000-0005-0000-0000-000006080000}"/>
    <cellStyle name="40% - Accent6 2 4 3 3" xfId="2374" xr:uid="{00000000-0005-0000-0000-000007080000}"/>
    <cellStyle name="40% - Accent6 2 4 4" xfId="1177" xr:uid="{00000000-0005-0000-0000-000008080000}"/>
    <cellStyle name="40% - Accent6 2 4 4 2" xfId="2773" xr:uid="{00000000-0005-0000-0000-000009080000}"/>
    <cellStyle name="40% - Accent6 2 4 5" xfId="1975" xr:uid="{00000000-0005-0000-0000-00000A080000}"/>
    <cellStyle name="40% - Accent6 2 5" xfId="575" xr:uid="{00000000-0005-0000-0000-00000B080000}"/>
    <cellStyle name="40% - Accent6 2 5 2" xfId="973" xr:uid="{00000000-0005-0000-0000-00000C080000}"/>
    <cellStyle name="40% - Accent6 2 5 2 2" xfId="1771" xr:uid="{00000000-0005-0000-0000-00000D080000}"/>
    <cellStyle name="40% - Accent6 2 5 2 2 2" xfId="3367" xr:uid="{00000000-0005-0000-0000-00000E080000}"/>
    <cellStyle name="40% - Accent6 2 5 2 3" xfId="2569" xr:uid="{00000000-0005-0000-0000-00000F080000}"/>
    <cellStyle name="40% - Accent6 2 5 3" xfId="1372" xr:uid="{00000000-0005-0000-0000-000010080000}"/>
    <cellStyle name="40% - Accent6 2 5 3 2" xfId="2968" xr:uid="{00000000-0005-0000-0000-000011080000}"/>
    <cellStyle name="40% - Accent6 2 5 4" xfId="2170" xr:uid="{00000000-0005-0000-0000-000012080000}"/>
    <cellStyle name="40% - Accent6 2 6" xfId="774" xr:uid="{00000000-0005-0000-0000-000013080000}"/>
    <cellStyle name="40% - Accent6 2 6 2" xfId="1571" xr:uid="{00000000-0005-0000-0000-000014080000}"/>
    <cellStyle name="40% - Accent6 2 6 2 2" xfId="3167" xr:uid="{00000000-0005-0000-0000-000015080000}"/>
    <cellStyle name="40% - Accent6 2 6 3" xfId="2369" xr:uid="{00000000-0005-0000-0000-000016080000}"/>
    <cellStyle name="40% - Accent6 2 7" xfId="1172" xr:uid="{00000000-0005-0000-0000-000017080000}"/>
    <cellStyle name="40% - Accent6 2 7 2" xfId="2768" xr:uid="{00000000-0005-0000-0000-000018080000}"/>
    <cellStyle name="40% - Accent6 2 8" xfId="1970" xr:uid="{00000000-0005-0000-0000-000019080000}"/>
    <cellStyle name="40% - Accent6 3" xfId="146" xr:uid="{00000000-0005-0000-0000-00001A080000}"/>
    <cellStyle name="40% - Accent6 3 2" xfId="394" xr:uid="{00000000-0005-0000-0000-00001B080000}"/>
    <cellStyle name="40% - Accent6 3 2 2" xfId="582" xr:uid="{00000000-0005-0000-0000-00001C080000}"/>
    <cellStyle name="40% - Accent6 3 2 2 2" xfId="980" xr:uid="{00000000-0005-0000-0000-00001D080000}"/>
    <cellStyle name="40% - Accent6 3 2 2 2 2" xfId="1778" xr:uid="{00000000-0005-0000-0000-00001E080000}"/>
    <cellStyle name="40% - Accent6 3 2 2 2 2 2" xfId="3374" xr:uid="{00000000-0005-0000-0000-00001F080000}"/>
    <cellStyle name="40% - Accent6 3 2 2 2 3" xfId="2576" xr:uid="{00000000-0005-0000-0000-000020080000}"/>
    <cellStyle name="40% - Accent6 3 2 2 3" xfId="1379" xr:uid="{00000000-0005-0000-0000-000021080000}"/>
    <cellStyle name="40% - Accent6 3 2 2 3 2" xfId="2975" xr:uid="{00000000-0005-0000-0000-000022080000}"/>
    <cellStyle name="40% - Accent6 3 2 2 4" xfId="2177" xr:uid="{00000000-0005-0000-0000-000023080000}"/>
    <cellStyle name="40% - Accent6 3 2 3" xfId="781" xr:uid="{00000000-0005-0000-0000-000024080000}"/>
    <cellStyle name="40% - Accent6 3 2 3 2" xfId="1578" xr:uid="{00000000-0005-0000-0000-000025080000}"/>
    <cellStyle name="40% - Accent6 3 2 3 2 2" xfId="3174" xr:uid="{00000000-0005-0000-0000-000026080000}"/>
    <cellStyle name="40% - Accent6 3 2 3 3" xfId="2376" xr:uid="{00000000-0005-0000-0000-000027080000}"/>
    <cellStyle name="40% - Accent6 3 2 4" xfId="1179" xr:uid="{00000000-0005-0000-0000-000028080000}"/>
    <cellStyle name="40% - Accent6 3 2 4 2" xfId="2775" xr:uid="{00000000-0005-0000-0000-000029080000}"/>
    <cellStyle name="40% - Accent6 3 2 5" xfId="1977" xr:uid="{00000000-0005-0000-0000-00002A080000}"/>
    <cellStyle name="40% - Accent6 3 3" xfId="395" xr:uid="{00000000-0005-0000-0000-00002B080000}"/>
    <cellStyle name="40% - Accent6 3 3 2" xfId="583" xr:uid="{00000000-0005-0000-0000-00002C080000}"/>
    <cellStyle name="40% - Accent6 3 3 2 2" xfId="981" xr:uid="{00000000-0005-0000-0000-00002D080000}"/>
    <cellStyle name="40% - Accent6 3 3 2 2 2" xfId="1779" xr:uid="{00000000-0005-0000-0000-00002E080000}"/>
    <cellStyle name="40% - Accent6 3 3 2 2 2 2" xfId="3375" xr:uid="{00000000-0005-0000-0000-00002F080000}"/>
    <cellStyle name="40% - Accent6 3 3 2 2 3" xfId="2577" xr:uid="{00000000-0005-0000-0000-000030080000}"/>
    <cellStyle name="40% - Accent6 3 3 2 3" xfId="1380" xr:uid="{00000000-0005-0000-0000-000031080000}"/>
    <cellStyle name="40% - Accent6 3 3 2 3 2" xfId="2976" xr:uid="{00000000-0005-0000-0000-000032080000}"/>
    <cellStyle name="40% - Accent6 3 3 2 4" xfId="2178" xr:uid="{00000000-0005-0000-0000-000033080000}"/>
    <cellStyle name="40% - Accent6 3 3 3" xfId="782" xr:uid="{00000000-0005-0000-0000-000034080000}"/>
    <cellStyle name="40% - Accent6 3 3 3 2" xfId="1579" xr:uid="{00000000-0005-0000-0000-000035080000}"/>
    <cellStyle name="40% - Accent6 3 3 3 2 2" xfId="3175" xr:uid="{00000000-0005-0000-0000-000036080000}"/>
    <cellStyle name="40% - Accent6 3 3 3 3" xfId="2377" xr:uid="{00000000-0005-0000-0000-000037080000}"/>
    <cellStyle name="40% - Accent6 3 3 4" xfId="1180" xr:uid="{00000000-0005-0000-0000-000038080000}"/>
    <cellStyle name="40% - Accent6 3 3 4 2" xfId="2776" xr:uid="{00000000-0005-0000-0000-000039080000}"/>
    <cellStyle name="40% - Accent6 3 3 5" xfId="1978" xr:uid="{00000000-0005-0000-0000-00003A080000}"/>
    <cellStyle name="40% - Accent6 3 4" xfId="581" xr:uid="{00000000-0005-0000-0000-00003B080000}"/>
    <cellStyle name="40% - Accent6 3 4 2" xfId="979" xr:uid="{00000000-0005-0000-0000-00003C080000}"/>
    <cellStyle name="40% - Accent6 3 4 2 2" xfId="1777" xr:uid="{00000000-0005-0000-0000-00003D080000}"/>
    <cellStyle name="40% - Accent6 3 4 2 2 2" xfId="3373" xr:uid="{00000000-0005-0000-0000-00003E080000}"/>
    <cellStyle name="40% - Accent6 3 4 2 3" xfId="2575" xr:uid="{00000000-0005-0000-0000-00003F080000}"/>
    <cellStyle name="40% - Accent6 3 4 3" xfId="1378" xr:uid="{00000000-0005-0000-0000-000040080000}"/>
    <cellStyle name="40% - Accent6 3 4 3 2" xfId="2974" xr:uid="{00000000-0005-0000-0000-000041080000}"/>
    <cellStyle name="40% - Accent6 3 4 4" xfId="2176" xr:uid="{00000000-0005-0000-0000-000042080000}"/>
    <cellStyle name="40% - Accent6 3 5" xfId="780" xr:uid="{00000000-0005-0000-0000-000043080000}"/>
    <cellStyle name="40% - Accent6 3 5 2" xfId="1577" xr:uid="{00000000-0005-0000-0000-000044080000}"/>
    <cellStyle name="40% - Accent6 3 5 2 2" xfId="3173" xr:uid="{00000000-0005-0000-0000-000045080000}"/>
    <cellStyle name="40% - Accent6 3 5 3" xfId="2375" xr:uid="{00000000-0005-0000-0000-000046080000}"/>
    <cellStyle name="40% - Accent6 3 6" xfId="1178" xr:uid="{00000000-0005-0000-0000-000047080000}"/>
    <cellStyle name="40% - Accent6 3 6 2" xfId="2774" xr:uid="{00000000-0005-0000-0000-000048080000}"/>
    <cellStyle name="40% - Accent6 3 7" xfId="1976" xr:uid="{00000000-0005-0000-0000-000049080000}"/>
    <cellStyle name="40% - Accent6 4" xfId="160" xr:uid="{00000000-0005-0000-0000-00004A080000}"/>
    <cellStyle name="40% - Accent6 4 2" xfId="584" xr:uid="{00000000-0005-0000-0000-00004B080000}"/>
    <cellStyle name="40% - Accent6 4 2 2" xfId="982" xr:uid="{00000000-0005-0000-0000-00004C080000}"/>
    <cellStyle name="40% - Accent6 4 2 2 2" xfId="1780" xr:uid="{00000000-0005-0000-0000-00004D080000}"/>
    <cellStyle name="40% - Accent6 4 2 2 2 2" xfId="3376" xr:uid="{00000000-0005-0000-0000-00004E080000}"/>
    <cellStyle name="40% - Accent6 4 2 2 3" xfId="2578" xr:uid="{00000000-0005-0000-0000-00004F080000}"/>
    <cellStyle name="40% - Accent6 4 2 3" xfId="1381" xr:uid="{00000000-0005-0000-0000-000050080000}"/>
    <cellStyle name="40% - Accent6 4 2 3 2" xfId="2977" xr:uid="{00000000-0005-0000-0000-000051080000}"/>
    <cellStyle name="40% - Accent6 4 2 4" xfId="2179" xr:uid="{00000000-0005-0000-0000-000052080000}"/>
    <cellStyle name="40% - Accent6 4 3" xfId="783" xr:uid="{00000000-0005-0000-0000-000053080000}"/>
    <cellStyle name="40% - Accent6 4 3 2" xfId="1580" xr:uid="{00000000-0005-0000-0000-000054080000}"/>
    <cellStyle name="40% - Accent6 4 3 2 2" xfId="3176" xr:uid="{00000000-0005-0000-0000-000055080000}"/>
    <cellStyle name="40% - Accent6 4 3 3" xfId="2378" xr:uid="{00000000-0005-0000-0000-000056080000}"/>
    <cellStyle name="40% - Accent6 4 4" xfId="1181" xr:uid="{00000000-0005-0000-0000-000057080000}"/>
    <cellStyle name="40% - Accent6 4 4 2" xfId="2777" xr:uid="{00000000-0005-0000-0000-000058080000}"/>
    <cellStyle name="40% - Accent6 4 5" xfId="1979" xr:uid="{00000000-0005-0000-0000-000059080000}"/>
    <cellStyle name="40% - Accent6 5" xfId="396" xr:uid="{00000000-0005-0000-0000-00005A080000}"/>
    <cellStyle name="40% - Accent6 5 2" xfId="585" xr:uid="{00000000-0005-0000-0000-00005B080000}"/>
    <cellStyle name="40% - Accent6 5 2 2" xfId="983" xr:uid="{00000000-0005-0000-0000-00005C080000}"/>
    <cellStyle name="40% - Accent6 5 2 2 2" xfId="1781" xr:uid="{00000000-0005-0000-0000-00005D080000}"/>
    <cellStyle name="40% - Accent6 5 2 2 2 2" xfId="3377" xr:uid="{00000000-0005-0000-0000-00005E080000}"/>
    <cellStyle name="40% - Accent6 5 2 2 3" xfId="2579" xr:uid="{00000000-0005-0000-0000-00005F080000}"/>
    <cellStyle name="40% - Accent6 5 2 3" xfId="1382" xr:uid="{00000000-0005-0000-0000-000060080000}"/>
    <cellStyle name="40% - Accent6 5 2 3 2" xfId="2978" xr:uid="{00000000-0005-0000-0000-000061080000}"/>
    <cellStyle name="40% - Accent6 5 2 4" xfId="2180" xr:uid="{00000000-0005-0000-0000-000062080000}"/>
    <cellStyle name="40% - Accent6 5 3" xfId="784" xr:uid="{00000000-0005-0000-0000-000063080000}"/>
    <cellStyle name="40% - Accent6 5 3 2" xfId="1581" xr:uid="{00000000-0005-0000-0000-000064080000}"/>
    <cellStyle name="40% - Accent6 5 3 2 2" xfId="3177" xr:uid="{00000000-0005-0000-0000-000065080000}"/>
    <cellStyle name="40% - Accent6 5 3 3" xfId="2379" xr:uid="{00000000-0005-0000-0000-000066080000}"/>
    <cellStyle name="40% - Accent6 5 4" xfId="1182" xr:uid="{00000000-0005-0000-0000-000067080000}"/>
    <cellStyle name="40% - Accent6 5 4 2" xfId="2778" xr:uid="{00000000-0005-0000-0000-000068080000}"/>
    <cellStyle name="40% - Accent6 5 5" xfId="1980" xr:uid="{00000000-0005-0000-0000-000069080000}"/>
    <cellStyle name="40% - Accent6 6" xfId="295" xr:uid="{00000000-0005-0000-0000-00006A080000}"/>
    <cellStyle name="60% - Accent1" xfId="28" builtinId="32" customBuiltin="1"/>
    <cellStyle name="60% - Accent1 2" xfId="61" xr:uid="{00000000-0005-0000-0000-00006C080000}"/>
    <cellStyle name="60% - Accent1 2 2" xfId="221" xr:uid="{00000000-0005-0000-0000-00006D080000}"/>
    <cellStyle name="60% - Accent1 2 3" xfId="187" xr:uid="{00000000-0005-0000-0000-00006E080000}"/>
    <cellStyle name="60% - Accent1 3" xfId="296" xr:uid="{00000000-0005-0000-0000-00006F080000}"/>
    <cellStyle name="60% - Accent2" xfId="31" builtinId="36" customBuiltin="1"/>
    <cellStyle name="60% - Accent2 2" xfId="62" xr:uid="{00000000-0005-0000-0000-000071080000}"/>
    <cellStyle name="60% - Accent2 2 2" xfId="209" xr:uid="{00000000-0005-0000-0000-000072080000}"/>
    <cellStyle name="60% - Accent2 2 3" xfId="108" xr:uid="{00000000-0005-0000-0000-000073080000}"/>
    <cellStyle name="60% - Accent3" xfId="35" builtinId="40" customBuiltin="1"/>
    <cellStyle name="60% - Accent3 2" xfId="63" xr:uid="{00000000-0005-0000-0000-000075080000}"/>
    <cellStyle name="60% - Accent3 2 2" xfId="211" xr:uid="{00000000-0005-0000-0000-000076080000}"/>
    <cellStyle name="60% - Accent3 2 3" xfId="110" xr:uid="{00000000-0005-0000-0000-000077080000}"/>
    <cellStyle name="60% - Accent3 3" xfId="297" xr:uid="{00000000-0005-0000-0000-000078080000}"/>
    <cellStyle name="60% - Accent4" xfId="39" builtinId="44" customBuiltin="1"/>
    <cellStyle name="60% - Accent4 2" xfId="64" xr:uid="{00000000-0005-0000-0000-00007A080000}"/>
    <cellStyle name="60% - Accent4 2 2" xfId="213" xr:uid="{00000000-0005-0000-0000-00007B080000}"/>
    <cellStyle name="60% - Accent4 2 3" xfId="180" xr:uid="{00000000-0005-0000-0000-00007C080000}"/>
    <cellStyle name="60% - Accent4 3" xfId="298" xr:uid="{00000000-0005-0000-0000-00007D080000}"/>
    <cellStyle name="60% - Accent5" xfId="43" builtinId="48" customBuiltin="1"/>
    <cellStyle name="60% - Accent5 2" xfId="65" xr:uid="{00000000-0005-0000-0000-00007F080000}"/>
    <cellStyle name="60% - Accent5 2 2" xfId="215" xr:uid="{00000000-0005-0000-0000-000080080000}"/>
    <cellStyle name="60% - Accent5 2 3" xfId="208" xr:uid="{00000000-0005-0000-0000-000081080000}"/>
    <cellStyle name="60% - Accent6" xfId="47" builtinId="52" customBuiltin="1"/>
    <cellStyle name="60% - Accent6 2" xfId="66" xr:uid="{00000000-0005-0000-0000-000083080000}"/>
    <cellStyle name="60% - Accent6 2 2" xfId="217" xr:uid="{00000000-0005-0000-0000-000084080000}"/>
    <cellStyle name="60% - Accent6 2 3" xfId="165" xr:uid="{00000000-0005-0000-0000-000085080000}"/>
    <cellStyle name="60% - Accent6 3" xfId="300" xr:uid="{00000000-0005-0000-0000-000086080000}"/>
    <cellStyle name="Accent1" xfId="25" builtinId="29" customBuiltin="1"/>
    <cellStyle name="Accent1 2" xfId="67" xr:uid="{00000000-0005-0000-0000-000088080000}"/>
    <cellStyle name="Accent1 2 2" xfId="219" xr:uid="{00000000-0005-0000-0000-000089080000}"/>
    <cellStyle name="Accent1 2 3" xfId="106" xr:uid="{00000000-0005-0000-0000-00008A080000}"/>
    <cellStyle name="Accent1 3" xfId="301" xr:uid="{00000000-0005-0000-0000-00008B080000}"/>
    <cellStyle name="Accent2" xfId="29" builtinId="33" customBuiltin="1"/>
    <cellStyle name="Accent2 2" xfId="68" xr:uid="{00000000-0005-0000-0000-00008D080000}"/>
    <cellStyle name="Accent2 2 2" xfId="210" xr:uid="{00000000-0005-0000-0000-00008E080000}"/>
    <cellStyle name="Accent2 2 3" xfId="169" xr:uid="{00000000-0005-0000-0000-00008F080000}"/>
    <cellStyle name="Accent3" xfId="32" builtinId="37" customBuiltin="1"/>
    <cellStyle name="Accent3 2" xfId="69" xr:uid="{00000000-0005-0000-0000-000091080000}"/>
    <cellStyle name="Accent3 2 2" xfId="212" xr:uid="{00000000-0005-0000-0000-000092080000}"/>
    <cellStyle name="Accent3 2 3" xfId="191" xr:uid="{00000000-0005-0000-0000-000093080000}"/>
    <cellStyle name="Accent4" xfId="36" builtinId="41" customBuiltin="1"/>
    <cellStyle name="Accent4 2" xfId="70" xr:uid="{00000000-0005-0000-0000-000095080000}"/>
    <cellStyle name="Accent4 2 2" xfId="214" xr:uid="{00000000-0005-0000-0000-000096080000}"/>
    <cellStyle name="Accent4 2 3" xfId="190" xr:uid="{00000000-0005-0000-0000-000097080000}"/>
    <cellStyle name="Accent4 3" xfId="302" xr:uid="{00000000-0005-0000-0000-000098080000}"/>
    <cellStyle name="Accent5" xfId="40" builtinId="45" customBuiltin="1"/>
    <cellStyle name="Accent5 2" xfId="71" xr:uid="{00000000-0005-0000-0000-00009A080000}"/>
    <cellStyle name="Accent5 2 2" xfId="216" xr:uid="{00000000-0005-0000-0000-00009B080000}"/>
    <cellStyle name="Accent5 2 3" xfId="166" xr:uid="{00000000-0005-0000-0000-00009C080000}"/>
    <cellStyle name="Accent6" xfId="44" builtinId="49" customBuiltin="1"/>
    <cellStyle name="Accent6 2" xfId="72" xr:uid="{00000000-0005-0000-0000-00009E080000}"/>
    <cellStyle name="Accent6 2 2" xfId="218" xr:uid="{00000000-0005-0000-0000-00009F080000}"/>
    <cellStyle name="Accent6 2 3" xfId="168" xr:uid="{00000000-0005-0000-0000-0000A0080000}"/>
    <cellStyle name="Bad" xfId="15" builtinId="27" customBuiltin="1"/>
    <cellStyle name="Bad 2" xfId="73" xr:uid="{00000000-0005-0000-0000-0000A2080000}"/>
    <cellStyle name="Bad 2 2" xfId="220" xr:uid="{00000000-0005-0000-0000-0000A3080000}"/>
    <cellStyle name="Bad 2 3" xfId="115" xr:uid="{00000000-0005-0000-0000-0000A4080000}"/>
    <cellStyle name="Blue" xfId="6" xr:uid="{00000000-0005-0000-0000-0000A5080000}"/>
    <cellStyle name="Calculation" xfId="19" builtinId="22" customBuiltin="1"/>
    <cellStyle name="Calculation 2" xfId="74" xr:uid="{00000000-0005-0000-0000-0000A7080000}"/>
    <cellStyle name="Calculation 2 2" xfId="236" xr:uid="{00000000-0005-0000-0000-0000A8080000}"/>
    <cellStyle name="Calculation 2 3" xfId="182" xr:uid="{00000000-0005-0000-0000-0000A9080000}"/>
    <cellStyle name="Calculation 3" xfId="303" xr:uid="{00000000-0005-0000-0000-0000AA080000}"/>
    <cellStyle name="Check Cell" xfId="21" builtinId="23" customBuiltin="1"/>
    <cellStyle name="Check Cell 2" xfId="75" xr:uid="{00000000-0005-0000-0000-0000AC080000}"/>
    <cellStyle name="Check Cell 2 2" xfId="237" xr:uid="{00000000-0005-0000-0000-0000AD080000}"/>
    <cellStyle name="Check Cell 2 3" xfId="112" xr:uid="{00000000-0005-0000-0000-0000AE080000}"/>
    <cellStyle name="Comma" xfId="1" builtinId="3"/>
    <cellStyle name="Comma 2" xfId="7" xr:uid="{00000000-0005-0000-0000-0000B0080000}"/>
    <cellStyle name="Comma 2 10" xfId="397" xr:uid="{00000000-0005-0000-0000-0000B1080000}"/>
    <cellStyle name="Comma 2 2" xfId="238" xr:uid="{00000000-0005-0000-0000-0000B2080000}"/>
    <cellStyle name="Comma 2 2 10" xfId="3447" xr:uid="{00000000-0005-0000-0000-0000B3080000}"/>
    <cellStyle name="Comma 2 2 2" xfId="399" xr:uid="{00000000-0005-0000-0000-0000B4080000}"/>
    <cellStyle name="Comma 2 2 2 2" xfId="400" xr:uid="{00000000-0005-0000-0000-0000B5080000}"/>
    <cellStyle name="Comma 2 2 2 2 2" xfId="589" xr:uid="{00000000-0005-0000-0000-0000B6080000}"/>
    <cellStyle name="Comma 2 2 2 2 2 2" xfId="987" xr:uid="{00000000-0005-0000-0000-0000B7080000}"/>
    <cellStyle name="Comma 2 2 2 2 2 2 2" xfId="1785" xr:uid="{00000000-0005-0000-0000-0000B8080000}"/>
    <cellStyle name="Comma 2 2 2 2 2 2 2 2" xfId="3381" xr:uid="{00000000-0005-0000-0000-0000B9080000}"/>
    <cellStyle name="Comma 2 2 2 2 2 2 3" xfId="2583" xr:uid="{00000000-0005-0000-0000-0000BA080000}"/>
    <cellStyle name="Comma 2 2 2 2 2 3" xfId="1386" xr:uid="{00000000-0005-0000-0000-0000BB080000}"/>
    <cellStyle name="Comma 2 2 2 2 2 3 2" xfId="2982" xr:uid="{00000000-0005-0000-0000-0000BC080000}"/>
    <cellStyle name="Comma 2 2 2 2 2 4" xfId="2184" xr:uid="{00000000-0005-0000-0000-0000BD080000}"/>
    <cellStyle name="Comma 2 2 2 2 3" xfId="788" xr:uid="{00000000-0005-0000-0000-0000BE080000}"/>
    <cellStyle name="Comma 2 2 2 2 3 2" xfId="1585" xr:uid="{00000000-0005-0000-0000-0000BF080000}"/>
    <cellStyle name="Comma 2 2 2 2 3 2 2" xfId="3181" xr:uid="{00000000-0005-0000-0000-0000C0080000}"/>
    <cellStyle name="Comma 2 2 2 2 3 3" xfId="2383" xr:uid="{00000000-0005-0000-0000-0000C1080000}"/>
    <cellStyle name="Comma 2 2 2 2 4" xfId="1186" xr:uid="{00000000-0005-0000-0000-0000C2080000}"/>
    <cellStyle name="Comma 2 2 2 2 4 2" xfId="2782" xr:uid="{00000000-0005-0000-0000-0000C3080000}"/>
    <cellStyle name="Comma 2 2 2 2 5" xfId="1984" xr:uid="{00000000-0005-0000-0000-0000C4080000}"/>
    <cellStyle name="Comma 2 2 2 3" xfId="401" xr:uid="{00000000-0005-0000-0000-0000C5080000}"/>
    <cellStyle name="Comma 2 2 2 3 2" xfId="590" xr:uid="{00000000-0005-0000-0000-0000C6080000}"/>
    <cellStyle name="Comma 2 2 2 3 2 2" xfId="988" xr:uid="{00000000-0005-0000-0000-0000C7080000}"/>
    <cellStyle name="Comma 2 2 2 3 2 2 2" xfId="1786" xr:uid="{00000000-0005-0000-0000-0000C8080000}"/>
    <cellStyle name="Comma 2 2 2 3 2 2 2 2" xfId="3382" xr:uid="{00000000-0005-0000-0000-0000C9080000}"/>
    <cellStyle name="Comma 2 2 2 3 2 2 3" xfId="2584" xr:uid="{00000000-0005-0000-0000-0000CA080000}"/>
    <cellStyle name="Comma 2 2 2 3 2 3" xfId="1387" xr:uid="{00000000-0005-0000-0000-0000CB080000}"/>
    <cellStyle name="Comma 2 2 2 3 2 3 2" xfId="2983" xr:uid="{00000000-0005-0000-0000-0000CC080000}"/>
    <cellStyle name="Comma 2 2 2 3 2 4" xfId="2185" xr:uid="{00000000-0005-0000-0000-0000CD080000}"/>
    <cellStyle name="Comma 2 2 2 3 3" xfId="789" xr:uid="{00000000-0005-0000-0000-0000CE080000}"/>
    <cellStyle name="Comma 2 2 2 3 3 2" xfId="1586" xr:uid="{00000000-0005-0000-0000-0000CF080000}"/>
    <cellStyle name="Comma 2 2 2 3 3 2 2" xfId="3182" xr:uid="{00000000-0005-0000-0000-0000D0080000}"/>
    <cellStyle name="Comma 2 2 2 3 3 3" xfId="2384" xr:uid="{00000000-0005-0000-0000-0000D1080000}"/>
    <cellStyle name="Comma 2 2 2 3 4" xfId="1187" xr:uid="{00000000-0005-0000-0000-0000D2080000}"/>
    <cellStyle name="Comma 2 2 2 3 4 2" xfId="2783" xr:uid="{00000000-0005-0000-0000-0000D3080000}"/>
    <cellStyle name="Comma 2 2 2 3 5" xfId="1985" xr:uid="{00000000-0005-0000-0000-0000D4080000}"/>
    <cellStyle name="Comma 2 2 2 4" xfId="588" xr:uid="{00000000-0005-0000-0000-0000D5080000}"/>
    <cellStyle name="Comma 2 2 2 4 2" xfId="986" xr:uid="{00000000-0005-0000-0000-0000D6080000}"/>
    <cellStyle name="Comma 2 2 2 4 2 2" xfId="1784" xr:uid="{00000000-0005-0000-0000-0000D7080000}"/>
    <cellStyle name="Comma 2 2 2 4 2 2 2" xfId="3380" xr:uid="{00000000-0005-0000-0000-0000D8080000}"/>
    <cellStyle name="Comma 2 2 2 4 2 3" xfId="2582" xr:uid="{00000000-0005-0000-0000-0000D9080000}"/>
    <cellStyle name="Comma 2 2 2 4 3" xfId="1385" xr:uid="{00000000-0005-0000-0000-0000DA080000}"/>
    <cellStyle name="Comma 2 2 2 4 3 2" xfId="2981" xr:uid="{00000000-0005-0000-0000-0000DB080000}"/>
    <cellStyle name="Comma 2 2 2 4 4" xfId="2183" xr:uid="{00000000-0005-0000-0000-0000DC080000}"/>
    <cellStyle name="Comma 2 2 2 5" xfId="787" xr:uid="{00000000-0005-0000-0000-0000DD080000}"/>
    <cellStyle name="Comma 2 2 2 5 2" xfId="1584" xr:uid="{00000000-0005-0000-0000-0000DE080000}"/>
    <cellStyle name="Comma 2 2 2 5 2 2" xfId="3180" xr:uid="{00000000-0005-0000-0000-0000DF080000}"/>
    <cellStyle name="Comma 2 2 2 5 3" xfId="2382" xr:uid="{00000000-0005-0000-0000-0000E0080000}"/>
    <cellStyle name="Comma 2 2 2 6" xfId="1185" xr:uid="{00000000-0005-0000-0000-0000E1080000}"/>
    <cellStyle name="Comma 2 2 2 6 2" xfId="2781" xr:uid="{00000000-0005-0000-0000-0000E2080000}"/>
    <cellStyle name="Comma 2 2 2 7" xfId="1983" xr:uid="{00000000-0005-0000-0000-0000E3080000}"/>
    <cellStyle name="Comma 2 2 3" xfId="402" xr:uid="{00000000-0005-0000-0000-0000E4080000}"/>
    <cellStyle name="Comma 2 2 3 2" xfId="591" xr:uid="{00000000-0005-0000-0000-0000E5080000}"/>
    <cellStyle name="Comma 2 2 3 2 2" xfId="989" xr:uid="{00000000-0005-0000-0000-0000E6080000}"/>
    <cellStyle name="Comma 2 2 3 2 2 2" xfId="1787" xr:uid="{00000000-0005-0000-0000-0000E7080000}"/>
    <cellStyle name="Comma 2 2 3 2 2 2 2" xfId="3383" xr:uid="{00000000-0005-0000-0000-0000E8080000}"/>
    <cellStyle name="Comma 2 2 3 2 2 3" xfId="2585" xr:uid="{00000000-0005-0000-0000-0000E9080000}"/>
    <cellStyle name="Comma 2 2 3 2 3" xfId="1388" xr:uid="{00000000-0005-0000-0000-0000EA080000}"/>
    <cellStyle name="Comma 2 2 3 2 3 2" xfId="2984" xr:uid="{00000000-0005-0000-0000-0000EB080000}"/>
    <cellStyle name="Comma 2 2 3 2 4" xfId="2186" xr:uid="{00000000-0005-0000-0000-0000EC080000}"/>
    <cellStyle name="Comma 2 2 3 3" xfId="790" xr:uid="{00000000-0005-0000-0000-0000ED080000}"/>
    <cellStyle name="Comma 2 2 3 3 2" xfId="1587" xr:uid="{00000000-0005-0000-0000-0000EE080000}"/>
    <cellStyle name="Comma 2 2 3 3 2 2" xfId="3183" xr:uid="{00000000-0005-0000-0000-0000EF080000}"/>
    <cellStyle name="Comma 2 2 3 3 3" xfId="2385" xr:uid="{00000000-0005-0000-0000-0000F0080000}"/>
    <cellStyle name="Comma 2 2 3 4" xfId="1188" xr:uid="{00000000-0005-0000-0000-0000F1080000}"/>
    <cellStyle name="Comma 2 2 3 4 2" xfId="2784" xr:uid="{00000000-0005-0000-0000-0000F2080000}"/>
    <cellStyle name="Comma 2 2 3 5" xfId="1986" xr:uid="{00000000-0005-0000-0000-0000F3080000}"/>
    <cellStyle name="Comma 2 2 4" xfId="403" xr:uid="{00000000-0005-0000-0000-0000F4080000}"/>
    <cellStyle name="Comma 2 2 4 2" xfId="592" xr:uid="{00000000-0005-0000-0000-0000F5080000}"/>
    <cellStyle name="Comma 2 2 4 2 2" xfId="990" xr:uid="{00000000-0005-0000-0000-0000F6080000}"/>
    <cellStyle name="Comma 2 2 4 2 2 2" xfId="1788" xr:uid="{00000000-0005-0000-0000-0000F7080000}"/>
    <cellStyle name="Comma 2 2 4 2 2 2 2" xfId="3384" xr:uid="{00000000-0005-0000-0000-0000F8080000}"/>
    <cellStyle name="Comma 2 2 4 2 2 3" xfId="2586" xr:uid="{00000000-0005-0000-0000-0000F9080000}"/>
    <cellStyle name="Comma 2 2 4 2 3" xfId="1389" xr:uid="{00000000-0005-0000-0000-0000FA080000}"/>
    <cellStyle name="Comma 2 2 4 2 3 2" xfId="2985" xr:uid="{00000000-0005-0000-0000-0000FB080000}"/>
    <cellStyle name="Comma 2 2 4 2 4" xfId="2187" xr:uid="{00000000-0005-0000-0000-0000FC080000}"/>
    <cellStyle name="Comma 2 2 4 3" xfId="791" xr:uid="{00000000-0005-0000-0000-0000FD080000}"/>
    <cellStyle name="Comma 2 2 4 3 2" xfId="1588" xr:uid="{00000000-0005-0000-0000-0000FE080000}"/>
    <cellStyle name="Comma 2 2 4 3 2 2" xfId="3184" xr:uid="{00000000-0005-0000-0000-0000FF080000}"/>
    <cellStyle name="Comma 2 2 4 3 3" xfId="2386" xr:uid="{00000000-0005-0000-0000-000000090000}"/>
    <cellStyle name="Comma 2 2 4 4" xfId="1189" xr:uid="{00000000-0005-0000-0000-000001090000}"/>
    <cellStyle name="Comma 2 2 4 4 2" xfId="2785" xr:uid="{00000000-0005-0000-0000-000002090000}"/>
    <cellStyle name="Comma 2 2 4 5" xfId="1987" xr:uid="{00000000-0005-0000-0000-000003090000}"/>
    <cellStyle name="Comma 2 2 5" xfId="587" xr:uid="{00000000-0005-0000-0000-000004090000}"/>
    <cellStyle name="Comma 2 2 5 2" xfId="985" xr:uid="{00000000-0005-0000-0000-000005090000}"/>
    <cellStyle name="Comma 2 2 5 2 2" xfId="1783" xr:uid="{00000000-0005-0000-0000-000006090000}"/>
    <cellStyle name="Comma 2 2 5 2 2 2" xfId="3379" xr:uid="{00000000-0005-0000-0000-000007090000}"/>
    <cellStyle name="Comma 2 2 5 2 3" xfId="2581" xr:uid="{00000000-0005-0000-0000-000008090000}"/>
    <cellStyle name="Comma 2 2 5 3" xfId="1384" xr:uid="{00000000-0005-0000-0000-000009090000}"/>
    <cellStyle name="Comma 2 2 5 3 2" xfId="2980" xr:uid="{00000000-0005-0000-0000-00000A090000}"/>
    <cellStyle name="Comma 2 2 5 4" xfId="2182" xr:uid="{00000000-0005-0000-0000-00000B090000}"/>
    <cellStyle name="Comma 2 2 6" xfId="786" xr:uid="{00000000-0005-0000-0000-00000C090000}"/>
    <cellStyle name="Comma 2 2 6 2" xfId="1583" xr:uid="{00000000-0005-0000-0000-00000D090000}"/>
    <cellStyle name="Comma 2 2 6 2 2" xfId="3179" xr:uid="{00000000-0005-0000-0000-00000E090000}"/>
    <cellStyle name="Comma 2 2 6 3" xfId="2381" xr:uid="{00000000-0005-0000-0000-00000F090000}"/>
    <cellStyle name="Comma 2 2 7" xfId="1184" xr:uid="{00000000-0005-0000-0000-000010090000}"/>
    <cellStyle name="Comma 2 2 7 2" xfId="2780" xr:uid="{00000000-0005-0000-0000-000011090000}"/>
    <cellStyle name="Comma 2 2 8" xfId="1982" xr:uid="{00000000-0005-0000-0000-000012090000}"/>
    <cellStyle name="Comma 2 2 9" xfId="398" xr:uid="{00000000-0005-0000-0000-000013090000}"/>
    <cellStyle name="Comma 2 3" xfId="77" xr:uid="{00000000-0005-0000-0000-000014090000}"/>
    <cellStyle name="Comma 2 3 2" xfId="405" xr:uid="{00000000-0005-0000-0000-000015090000}"/>
    <cellStyle name="Comma 2 3 2 2" xfId="594" xr:uid="{00000000-0005-0000-0000-000016090000}"/>
    <cellStyle name="Comma 2 3 2 2 2" xfId="992" xr:uid="{00000000-0005-0000-0000-000017090000}"/>
    <cellStyle name="Comma 2 3 2 2 2 2" xfId="1790" xr:uid="{00000000-0005-0000-0000-000018090000}"/>
    <cellStyle name="Comma 2 3 2 2 2 2 2" xfId="3386" xr:uid="{00000000-0005-0000-0000-000019090000}"/>
    <cellStyle name="Comma 2 3 2 2 2 3" xfId="2588" xr:uid="{00000000-0005-0000-0000-00001A090000}"/>
    <cellStyle name="Comma 2 3 2 2 3" xfId="1391" xr:uid="{00000000-0005-0000-0000-00001B090000}"/>
    <cellStyle name="Comma 2 3 2 2 3 2" xfId="2987" xr:uid="{00000000-0005-0000-0000-00001C090000}"/>
    <cellStyle name="Comma 2 3 2 2 4" xfId="2189" xr:uid="{00000000-0005-0000-0000-00001D090000}"/>
    <cellStyle name="Comma 2 3 2 3" xfId="793" xr:uid="{00000000-0005-0000-0000-00001E090000}"/>
    <cellStyle name="Comma 2 3 2 3 2" xfId="1590" xr:uid="{00000000-0005-0000-0000-00001F090000}"/>
    <cellStyle name="Comma 2 3 2 3 2 2" xfId="3186" xr:uid="{00000000-0005-0000-0000-000020090000}"/>
    <cellStyle name="Comma 2 3 2 3 3" xfId="2388" xr:uid="{00000000-0005-0000-0000-000021090000}"/>
    <cellStyle name="Comma 2 3 2 4" xfId="1191" xr:uid="{00000000-0005-0000-0000-000022090000}"/>
    <cellStyle name="Comma 2 3 2 4 2" xfId="2787" xr:uid="{00000000-0005-0000-0000-000023090000}"/>
    <cellStyle name="Comma 2 3 2 5" xfId="1989" xr:uid="{00000000-0005-0000-0000-000024090000}"/>
    <cellStyle name="Comma 2 3 3" xfId="406" xr:uid="{00000000-0005-0000-0000-000025090000}"/>
    <cellStyle name="Comma 2 3 3 2" xfId="595" xr:uid="{00000000-0005-0000-0000-000026090000}"/>
    <cellStyle name="Comma 2 3 3 2 2" xfId="993" xr:uid="{00000000-0005-0000-0000-000027090000}"/>
    <cellStyle name="Comma 2 3 3 2 2 2" xfId="1791" xr:uid="{00000000-0005-0000-0000-000028090000}"/>
    <cellStyle name="Comma 2 3 3 2 2 2 2" xfId="3387" xr:uid="{00000000-0005-0000-0000-000029090000}"/>
    <cellStyle name="Comma 2 3 3 2 2 3" xfId="2589" xr:uid="{00000000-0005-0000-0000-00002A090000}"/>
    <cellStyle name="Comma 2 3 3 2 3" xfId="1392" xr:uid="{00000000-0005-0000-0000-00002B090000}"/>
    <cellStyle name="Comma 2 3 3 2 3 2" xfId="2988" xr:uid="{00000000-0005-0000-0000-00002C090000}"/>
    <cellStyle name="Comma 2 3 3 2 4" xfId="2190" xr:uid="{00000000-0005-0000-0000-00002D090000}"/>
    <cellStyle name="Comma 2 3 3 3" xfId="794" xr:uid="{00000000-0005-0000-0000-00002E090000}"/>
    <cellStyle name="Comma 2 3 3 3 2" xfId="1591" xr:uid="{00000000-0005-0000-0000-00002F090000}"/>
    <cellStyle name="Comma 2 3 3 3 2 2" xfId="3187" xr:uid="{00000000-0005-0000-0000-000030090000}"/>
    <cellStyle name="Comma 2 3 3 3 3" xfId="2389" xr:uid="{00000000-0005-0000-0000-000031090000}"/>
    <cellStyle name="Comma 2 3 3 4" xfId="1192" xr:uid="{00000000-0005-0000-0000-000032090000}"/>
    <cellStyle name="Comma 2 3 3 4 2" xfId="2788" xr:uid="{00000000-0005-0000-0000-000033090000}"/>
    <cellStyle name="Comma 2 3 3 5" xfId="1990" xr:uid="{00000000-0005-0000-0000-000034090000}"/>
    <cellStyle name="Comma 2 3 4" xfId="593" xr:uid="{00000000-0005-0000-0000-000035090000}"/>
    <cellStyle name="Comma 2 3 4 2" xfId="991" xr:uid="{00000000-0005-0000-0000-000036090000}"/>
    <cellStyle name="Comma 2 3 4 2 2" xfId="1789" xr:uid="{00000000-0005-0000-0000-000037090000}"/>
    <cellStyle name="Comma 2 3 4 2 2 2" xfId="3385" xr:uid="{00000000-0005-0000-0000-000038090000}"/>
    <cellStyle name="Comma 2 3 4 2 3" xfId="2587" xr:uid="{00000000-0005-0000-0000-000039090000}"/>
    <cellStyle name="Comma 2 3 4 3" xfId="1390" xr:uid="{00000000-0005-0000-0000-00003A090000}"/>
    <cellStyle name="Comma 2 3 4 3 2" xfId="2986" xr:uid="{00000000-0005-0000-0000-00003B090000}"/>
    <cellStyle name="Comma 2 3 4 4" xfId="2188" xr:uid="{00000000-0005-0000-0000-00003C090000}"/>
    <cellStyle name="Comma 2 3 5" xfId="792" xr:uid="{00000000-0005-0000-0000-00003D090000}"/>
    <cellStyle name="Comma 2 3 5 2" xfId="1589" xr:uid="{00000000-0005-0000-0000-00003E090000}"/>
    <cellStyle name="Comma 2 3 5 2 2" xfId="3185" xr:uid="{00000000-0005-0000-0000-00003F090000}"/>
    <cellStyle name="Comma 2 3 5 3" xfId="2387" xr:uid="{00000000-0005-0000-0000-000040090000}"/>
    <cellStyle name="Comma 2 3 6" xfId="1190" xr:uid="{00000000-0005-0000-0000-000041090000}"/>
    <cellStyle name="Comma 2 3 6 2" xfId="2786" xr:uid="{00000000-0005-0000-0000-000042090000}"/>
    <cellStyle name="Comma 2 3 7" xfId="1988" xr:uid="{00000000-0005-0000-0000-000043090000}"/>
    <cellStyle name="Comma 2 3 8" xfId="404" xr:uid="{00000000-0005-0000-0000-000044090000}"/>
    <cellStyle name="Comma 2 3 9" xfId="3451" xr:uid="{00000000-0005-0000-0000-000045090000}"/>
    <cellStyle name="Comma 2 4" xfId="407" xr:uid="{00000000-0005-0000-0000-000046090000}"/>
    <cellStyle name="Comma 2 4 2" xfId="596" xr:uid="{00000000-0005-0000-0000-000047090000}"/>
    <cellStyle name="Comma 2 4 2 2" xfId="994" xr:uid="{00000000-0005-0000-0000-000048090000}"/>
    <cellStyle name="Comma 2 4 2 2 2" xfId="1792" xr:uid="{00000000-0005-0000-0000-000049090000}"/>
    <cellStyle name="Comma 2 4 2 2 2 2" xfId="3388" xr:uid="{00000000-0005-0000-0000-00004A090000}"/>
    <cellStyle name="Comma 2 4 2 2 3" xfId="2590" xr:uid="{00000000-0005-0000-0000-00004B090000}"/>
    <cellStyle name="Comma 2 4 2 3" xfId="1393" xr:uid="{00000000-0005-0000-0000-00004C090000}"/>
    <cellStyle name="Comma 2 4 2 3 2" xfId="2989" xr:uid="{00000000-0005-0000-0000-00004D090000}"/>
    <cellStyle name="Comma 2 4 2 4" xfId="2191" xr:uid="{00000000-0005-0000-0000-00004E090000}"/>
    <cellStyle name="Comma 2 4 3" xfId="795" xr:uid="{00000000-0005-0000-0000-00004F090000}"/>
    <cellStyle name="Comma 2 4 3 2" xfId="1592" xr:uid="{00000000-0005-0000-0000-000050090000}"/>
    <cellStyle name="Comma 2 4 3 2 2" xfId="3188" xr:uid="{00000000-0005-0000-0000-000051090000}"/>
    <cellStyle name="Comma 2 4 3 3" xfId="2390" xr:uid="{00000000-0005-0000-0000-000052090000}"/>
    <cellStyle name="Comma 2 4 4" xfId="1193" xr:uid="{00000000-0005-0000-0000-000053090000}"/>
    <cellStyle name="Comma 2 4 4 2" xfId="2789" xr:uid="{00000000-0005-0000-0000-000054090000}"/>
    <cellStyle name="Comma 2 4 5" xfId="1991" xr:uid="{00000000-0005-0000-0000-000055090000}"/>
    <cellStyle name="Comma 2 5" xfId="408" xr:uid="{00000000-0005-0000-0000-000056090000}"/>
    <cellStyle name="Comma 2 5 2" xfId="597" xr:uid="{00000000-0005-0000-0000-000057090000}"/>
    <cellStyle name="Comma 2 5 2 2" xfId="995" xr:uid="{00000000-0005-0000-0000-000058090000}"/>
    <cellStyle name="Comma 2 5 2 2 2" xfId="1793" xr:uid="{00000000-0005-0000-0000-000059090000}"/>
    <cellStyle name="Comma 2 5 2 2 2 2" xfId="3389" xr:uid="{00000000-0005-0000-0000-00005A090000}"/>
    <cellStyle name="Comma 2 5 2 2 3" xfId="2591" xr:uid="{00000000-0005-0000-0000-00005B090000}"/>
    <cellStyle name="Comma 2 5 2 3" xfId="1394" xr:uid="{00000000-0005-0000-0000-00005C090000}"/>
    <cellStyle name="Comma 2 5 2 3 2" xfId="2990" xr:uid="{00000000-0005-0000-0000-00005D090000}"/>
    <cellStyle name="Comma 2 5 2 4" xfId="2192" xr:uid="{00000000-0005-0000-0000-00005E090000}"/>
    <cellStyle name="Comma 2 5 3" xfId="796" xr:uid="{00000000-0005-0000-0000-00005F090000}"/>
    <cellStyle name="Comma 2 5 3 2" xfId="1593" xr:uid="{00000000-0005-0000-0000-000060090000}"/>
    <cellStyle name="Comma 2 5 3 2 2" xfId="3189" xr:uid="{00000000-0005-0000-0000-000061090000}"/>
    <cellStyle name="Comma 2 5 3 3" xfId="2391" xr:uid="{00000000-0005-0000-0000-000062090000}"/>
    <cellStyle name="Comma 2 5 4" xfId="1194" xr:uid="{00000000-0005-0000-0000-000063090000}"/>
    <cellStyle name="Comma 2 5 4 2" xfId="2790" xr:uid="{00000000-0005-0000-0000-000064090000}"/>
    <cellStyle name="Comma 2 5 5" xfId="1992" xr:uid="{00000000-0005-0000-0000-000065090000}"/>
    <cellStyle name="Comma 2 6" xfId="586" xr:uid="{00000000-0005-0000-0000-000066090000}"/>
    <cellStyle name="Comma 2 6 2" xfId="984" xr:uid="{00000000-0005-0000-0000-000067090000}"/>
    <cellStyle name="Comma 2 6 2 2" xfId="1782" xr:uid="{00000000-0005-0000-0000-000068090000}"/>
    <cellStyle name="Comma 2 6 2 2 2" xfId="3378" xr:uid="{00000000-0005-0000-0000-000069090000}"/>
    <cellStyle name="Comma 2 6 2 3" xfId="2580" xr:uid="{00000000-0005-0000-0000-00006A090000}"/>
    <cellStyle name="Comma 2 6 3" xfId="1383" xr:uid="{00000000-0005-0000-0000-00006B090000}"/>
    <cellStyle name="Comma 2 6 3 2" xfId="2979" xr:uid="{00000000-0005-0000-0000-00006C090000}"/>
    <cellStyle name="Comma 2 6 4" xfId="2181" xr:uid="{00000000-0005-0000-0000-00006D090000}"/>
    <cellStyle name="Comma 2 7" xfId="785" xr:uid="{00000000-0005-0000-0000-00006E090000}"/>
    <cellStyle name="Comma 2 7 2" xfId="1582" xr:uid="{00000000-0005-0000-0000-00006F090000}"/>
    <cellStyle name="Comma 2 7 2 2" xfId="3178" xr:uid="{00000000-0005-0000-0000-000070090000}"/>
    <cellStyle name="Comma 2 7 3" xfId="2380" xr:uid="{00000000-0005-0000-0000-000071090000}"/>
    <cellStyle name="Comma 2 8" xfId="1183" xr:uid="{00000000-0005-0000-0000-000072090000}"/>
    <cellStyle name="Comma 2 8 2" xfId="2779" xr:uid="{00000000-0005-0000-0000-000073090000}"/>
    <cellStyle name="Comma 2 9" xfId="1981" xr:uid="{00000000-0005-0000-0000-000074090000}"/>
    <cellStyle name="Comma 3" xfId="132" xr:uid="{00000000-0005-0000-0000-000075090000}"/>
    <cellStyle name="Comma 3 2" xfId="598" xr:uid="{00000000-0005-0000-0000-000076090000}"/>
    <cellStyle name="Comma 3 2 2" xfId="996" xr:uid="{00000000-0005-0000-0000-000077090000}"/>
    <cellStyle name="Comma 3 2 2 2" xfId="1794" xr:uid="{00000000-0005-0000-0000-000078090000}"/>
    <cellStyle name="Comma 3 2 2 2 2" xfId="3390" xr:uid="{00000000-0005-0000-0000-000079090000}"/>
    <cellStyle name="Comma 3 2 2 3" xfId="2592" xr:uid="{00000000-0005-0000-0000-00007A090000}"/>
    <cellStyle name="Comma 3 2 3" xfId="1395" xr:uid="{00000000-0005-0000-0000-00007B090000}"/>
    <cellStyle name="Comma 3 2 3 2" xfId="2991" xr:uid="{00000000-0005-0000-0000-00007C090000}"/>
    <cellStyle name="Comma 3 2 4" xfId="2193" xr:uid="{00000000-0005-0000-0000-00007D090000}"/>
    <cellStyle name="Comma 3 3" xfId="797" xr:uid="{00000000-0005-0000-0000-00007E090000}"/>
    <cellStyle name="Comma 3 3 2" xfId="1594" xr:uid="{00000000-0005-0000-0000-00007F090000}"/>
    <cellStyle name="Comma 3 3 2 2" xfId="3190" xr:uid="{00000000-0005-0000-0000-000080090000}"/>
    <cellStyle name="Comma 3 3 3" xfId="2392" xr:uid="{00000000-0005-0000-0000-000081090000}"/>
    <cellStyle name="Comma 3 4" xfId="1195" xr:uid="{00000000-0005-0000-0000-000082090000}"/>
    <cellStyle name="Comma 3 4 2" xfId="2791" xr:uid="{00000000-0005-0000-0000-000083090000}"/>
    <cellStyle name="Comma 3 5" xfId="1993" xr:uid="{00000000-0005-0000-0000-000084090000}"/>
    <cellStyle name="Comma 3 6" xfId="409" xr:uid="{00000000-0005-0000-0000-000085090000}"/>
    <cellStyle name="Comma 3 7" xfId="3453" xr:uid="{00000000-0005-0000-0000-000086090000}"/>
    <cellStyle name="Comma 4" xfId="239" xr:uid="{00000000-0005-0000-0000-000087090000}"/>
    <cellStyle name="Comma 4 2" xfId="599" xr:uid="{00000000-0005-0000-0000-000088090000}"/>
    <cellStyle name="Comma 4 2 2" xfId="997" xr:uid="{00000000-0005-0000-0000-000089090000}"/>
    <cellStyle name="Comma 4 2 2 2" xfId="1795" xr:uid="{00000000-0005-0000-0000-00008A090000}"/>
    <cellStyle name="Comma 4 2 2 2 2" xfId="3391" xr:uid="{00000000-0005-0000-0000-00008B090000}"/>
    <cellStyle name="Comma 4 2 2 3" xfId="2593" xr:uid="{00000000-0005-0000-0000-00008C090000}"/>
    <cellStyle name="Comma 4 2 3" xfId="1396" xr:uid="{00000000-0005-0000-0000-00008D090000}"/>
    <cellStyle name="Comma 4 2 3 2" xfId="2992" xr:uid="{00000000-0005-0000-0000-00008E090000}"/>
    <cellStyle name="Comma 4 2 4" xfId="2194" xr:uid="{00000000-0005-0000-0000-00008F090000}"/>
    <cellStyle name="Comma 4 3" xfId="798" xr:uid="{00000000-0005-0000-0000-000090090000}"/>
    <cellStyle name="Comma 4 3 2" xfId="1595" xr:uid="{00000000-0005-0000-0000-000091090000}"/>
    <cellStyle name="Comma 4 3 2 2" xfId="3191" xr:uid="{00000000-0005-0000-0000-000092090000}"/>
    <cellStyle name="Comma 4 3 3" xfId="2393" xr:uid="{00000000-0005-0000-0000-000093090000}"/>
    <cellStyle name="Comma 4 4" xfId="1196" xr:uid="{00000000-0005-0000-0000-000094090000}"/>
    <cellStyle name="Comma 4 4 2" xfId="2792" xr:uid="{00000000-0005-0000-0000-000095090000}"/>
    <cellStyle name="Comma 4 5" xfId="1994" xr:uid="{00000000-0005-0000-0000-000096090000}"/>
    <cellStyle name="Comma 4 6" xfId="410" xr:uid="{00000000-0005-0000-0000-000097090000}"/>
    <cellStyle name="Comma 5" xfId="280" xr:uid="{00000000-0005-0000-0000-000098090000}"/>
    <cellStyle name="Comma 5 2" xfId="286" xr:uid="{00000000-0005-0000-0000-000099090000}"/>
    <cellStyle name="Comma 5 2 2" xfId="998" xr:uid="{00000000-0005-0000-0000-00009A090000}"/>
    <cellStyle name="Comma 5 2 2 2" xfId="1796" xr:uid="{00000000-0005-0000-0000-00009B090000}"/>
    <cellStyle name="Comma 5 2 2 2 2" xfId="3392" xr:uid="{00000000-0005-0000-0000-00009C090000}"/>
    <cellStyle name="Comma 5 2 2 3" xfId="2594" xr:uid="{00000000-0005-0000-0000-00009D090000}"/>
    <cellStyle name="Comma 5 2 3" xfId="1397" xr:uid="{00000000-0005-0000-0000-00009E090000}"/>
    <cellStyle name="Comma 5 2 3 2" xfId="2993" xr:uid="{00000000-0005-0000-0000-00009F090000}"/>
    <cellStyle name="Comma 5 2 4" xfId="2195" xr:uid="{00000000-0005-0000-0000-0000A0090000}"/>
    <cellStyle name="Comma 5 2 5" xfId="600" xr:uid="{00000000-0005-0000-0000-0000A1090000}"/>
    <cellStyle name="Comma 5 2 6" xfId="299" xr:uid="{00000000-0005-0000-0000-0000A2090000}"/>
    <cellStyle name="Comma 5 3" xfId="284" xr:uid="{00000000-0005-0000-0000-0000A3090000}"/>
    <cellStyle name="Comma 5 3 2" xfId="1596" xr:uid="{00000000-0005-0000-0000-0000A4090000}"/>
    <cellStyle name="Comma 5 3 2 2" xfId="3192" xr:uid="{00000000-0005-0000-0000-0000A5090000}"/>
    <cellStyle name="Comma 5 3 3" xfId="2394" xr:uid="{00000000-0005-0000-0000-0000A6090000}"/>
    <cellStyle name="Comma 5 3 4" xfId="799" xr:uid="{00000000-0005-0000-0000-0000A7090000}"/>
    <cellStyle name="Comma 5 3 5" xfId="3450" xr:uid="{00000000-0005-0000-0000-0000A8090000}"/>
    <cellStyle name="Comma 5 4" xfId="1197" xr:uid="{00000000-0005-0000-0000-0000A9090000}"/>
    <cellStyle name="Comma 5 4 2" xfId="2793" xr:uid="{00000000-0005-0000-0000-0000AA090000}"/>
    <cellStyle name="Comma 5 5" xfId="1995" xr:uid="{00000000-0005-0000-0000-0000AB090000}"/>
    <cellStyle name="Comma 5 6" xfId="411" xr:uid="{00000000-0005-0000-0000-0000AC090000}"/>
    <cellStyle name="Comma 5 7" xfId="3452" xr:uid="{00000000-0005-0000-0000-0000AD090000}"/>
    <cellStyle name="Comma 6" xfId="76" xr:uid="{00000000-0005-0000-0000-0000AE090000}"/>
    <cellStyle name="Comma 6 2" xfId="650" xr:uid="{00000000-0005-0000-0000-0000AF090000}"/>
    <cellStyle name="Comma 6 2 2" xfId="1048" xr:uid="{00000000-0005-0000-0000-0000B0090000}"/>
    <cellStyle name="Comma 6 2 2 2" xfId="1846" xr:uid="{00000000-0005-0000-0000-0000B1090000}"/>
    <cellStyle name="Comma 6 2 2 2 2" xfId="3442" xr:uid="{00000000-0005-0000-0000-0000B2090000}"/>
    <cellStyle name="Comma 6 2 2 3" xfId="2644" xr:uid="{00000000-0005-0000-0000-0000B3090000}"/>
    <cellStyle name="Comma 6 2 3" xfId="1447" xr:uid="{00000000-0005-0000-0000-0000B4090000}"/>
    <cellStyle name="Comma 6 2 3 2" xfId="3043" xr:uid="{00000000-0005-0000-0000-0000B5090000}"/>
    <cellStyle name="Comma 6 2 4" xfId="2245" xr:uid="{00000000-0005-0000-0000-0000B6090000}"/>
    <cellStyle name="Comma 6 3" xfId="848" xr:uid="{00000000-0005-0000-0000-0000B7090000}"/>
    <cellStyle name="Comma 6 3 2" xfId="1646" xr:uid="{00000000-0005-0000-0000-0000B8090000}"/>
    <cellStyle name="Comma 6 3 2 2" xfId="3242" xr:uid="{00000000-0005-0000-0000-0000B9090000}"/>
    <cellStyle name="Comma 6 3 3" xfId="2444" xr:uid="{00000000-0005-0000-0000-0000BA090000}"/>
    <cellStyle name="Comma 6 4" xfId="1247" xr:uid="{00000000-0005-0000-0000-0000BB090000}"/>
    <cellStyle name="Comma 6 4 2" xfId="2843" xr:uid="{00000000-0005-0000-0000-0000BC090000}"/>
    <cellStyle name="Comma 6 5" xfId="2045" xr:uid="{00000000-0005-0000-0000-0000BD090000}"/>
    <cellStyle name="Comma 6 6" xfId="450" xr:uid="{00000000-0005-0000-0000-0000BE090000}"/>
    <cellStyle name="Comma 7" xfId="452" xr:uid="{00000000-0005-0000-0000-0000BF090000}"/>
    <cellStyle name="Comma 7 2" xfId="850" xr:uid="{00000000-0005-0000-0000-0000C0090000}"/>
    <cellStyle name="Comma 7 2 2" xfId="1648" xr:uid="{00000000-0005-0000-0000-0000C1090000}"/>
    <cellStyle name="Comma 7 2 2 2" xfId="3244" xr:uid="{00000000-0005-0000-0000-0000C2090000}"/>
    <cellStyle name="Comma 7 2 3" xfId="2446" xr:uid="{00000000-0005-0000-0000-0000C3090000}"/>
    <cellStyle name="Comma 7 3" xfId="1249" xr:uid="{00000000-0005-0000-0000-0000C4090000}"/>
    <cellStyle name="Comma 7 3 2" xfId="2845" xr:uid="{00000000-0005-0000-0000-0000C5090000}"/>
    <cellStyle name="Comma 7 4" xfId="2047" xr:uid="{00000000-0005-0000-0000-0000C6090000}"/>
    <cellStyle name="Currency 2" xfId="79" xr:uid="{00000000-0005-0000-0000-0000C7090000}"/>
    <cellStyle name="Currency 2 2" xfId="241" xr:uid="{00000000-0005-0000-0000-0000C8090000}"/>
    <cellStyle name="Currency 2 2 2" xfId="1049" xr:uid="{00000000-0005-0000-0000-0000C9090000}"/>
    <cellStyle name="Currency 2 2 2 2" xfId="1847" xr:uid="{00000000-0005-0000-0000-0000CA090000}"/>
    <cellStyle name="Currency 2 2 2 2 2" xfId="3443" xr:uid="{00000000-0005-0000-0000-0000CB090000}"/>
    <cellStyle name="Currency 2 2 2 3" xfId="2645" xr:uid="{00000000-0005-0000-0000-0000CC090000}"/>
    <cellStyle name="Currency 2 2 3" xfId="1448" xr:uid="{00000000-0005-0000-0000-0000CD090000}"/>
    <cellStyle name="Currency 2 2 3 2" xfId="3044" xr:uid="{00000000-0005-0000-0000-0000CE090000}"/>
    <cellStyle name="Currency 2 2 4" xfId="2246" xr:uid="{00000000-0005-0000-0000-0000CF090000}"/>
    <cellStyle name="Currency 2 2 5" xfId="651" xr:uid="{00000000-0005-0000-0000-0000D0090000}"/>
    <cellStyle name="Currency 2 2 6" xfId="3446" xr:uid="{00000000-0005-0000-0000-0000D1090000}"/>
    <cellStyle name="Currency 2 3" xfId="240" xr:uid="{00000000-0005-0000-0000-0000D2090000}"/>
    <cellStyle name="Currency 2 3 2" xfId="1647" xr:uid="{00000000-0005-0000-0000-0000D3090000}"/>
    <cellStyle name="Currency 2 3 2 2" xfId="3243" xr:uid="{00000000-0005-0000-0000-0000D4090000}"/>
    <cellStyle name="Currency 2 3 3" xfId="2445" xr:uid="{00000000-0005-0000-0000-0000D5090000}"/>
    <cellStyle name="Currency 2 3 4" xfId="849" xr:uid="{00000000-0005-0000-0000-0000D6090000}"/>
    <cellStyle name="Currency 2 3 5" xfId="3455" xr:uid="{00000000-0005-0000-0000-0000D7090000}"/>
    <cellStyle name="Currency 2 4" xfId="1248" xr:uid="{00000000-0005-0000-0000-0000D8090000}"/>
    <cellStyle name="Currency 2 4 2" xfId="2844" xr:uid="{00000000-0005-0000-0000-0000D9090000}"/>
    <cellStyle name="Currency 2 5" xfId="2046" xr:uid="{00000000-0005-0000-0000-0000DA090000}"/>
    <cellStyle name="Currency 2 6" xfId="451" xr:uid="{00000000-0005-0000-0000-0000DB090000}"/>
    <cellStyle name="Currency 2 7" xfId="3444" xr:uid="{00000000-0005-0000-0000-0000DC090000}"/>
    <cellStyle name="Currency 3" xfId="242" xr:uid="{00000000-0005-0000-0000-0000DD090000}"/>
    <cellStyle name="Currency 3 2" xfId="3445" xr:uid="{00000000-0005-0000-0000-0000DE090000}"/>
    <cellStyle name="Currency 4" xfId="243" xr:uid="{00000000-0005-0000-0000-0000DF090000}"/>
    <cellStyle name="Currency 4 2" xfId="3454" xr:uid="{00000000-0005-0000-0000-0000E0090000}"/>
    <cellStyle name="Currency 5" xfId="244" xr:uid="{00000000-0005-0000-0000-0000E1090000}"/>
    <cellStyle name="Currency 5 2" xfId="3449" xr:uid="{00000000-0005-0000-0000-0000E2090000}"/>
    <cellStyle name="Currency 6" xfId="78" xr:uid="{00000000-0005-0000-0000-0000E3090000}"/>
    <cellStyle name="Currency 6 2" xfId="3448" xr:uid="{00000000-0005-0000-0000-0000E4090000}"/>
    <cellStyle name="Explanatory Text" xfId="23" builtinId="53" customBuiltin="1"/>
    <cellStyle name="Explanatory Text 2" xfId="80" xr:uid="{00000000-0005-0000-0000-0000E6090000}"/>
    <cellStyle name="Explanatory Text 2 2" xfId="245" xr:uid="{00000000-0005-0000-0000-0000E7090000}"/>
    <cellStyle name="Explanatory Text 2 3" xfId="105" xr:uid="{00000000-0005-0000-0000-0000E8090000}"/>
    <cellStyle name="Good" xfId="14" builtinId="26" customBuiltin="1"/>
    <cellStyle name="Good 2" xfId="81" xr:uid="{00000000-0005-0000-0000-0000EA090000}"/>
    <cellStyle name="Good 2 2" xfId="246" xr:uid="{00000000-0005-0000-0000-0000EB090000}"/>
    <cellStyle name="Good 2 3" xfId="183" xr:uid="{00000000-0005-0000-0000-0000EC090000}"/>
    <cellStyle name="Heading 1" xfId="10" builtinId="16" customBuiltin="1"/>
    <cellStyle name="Heading 1 2" xfId="82" xr:uid="{00000000-0005-0000-0000-0000EE090000}"/>
    <cellStyle name="Heading 1 2 2" xfId="247" xr:uid="{00000000-0005-0000-0000-0000EF090000}"/>
    <cellStyle name="Heading 1 2 3" xfId="186" xr:uid="{00000000-0005-0000-0000-0000F0090000}"/>
    <cellStyle name="Heading 1 3" xfId="304" xr:uid="{00000000-0005-0000-0000-0000F1090000}"/>
    <cellStyle name="Heading 2" xfId="11" builtinId="17" customBuiltin="1"/>
    <cellStyle name="Heading 2 2" xfId="83" xr:uid="{00000000-0005-0000-0000-0000F3090000}"/>
    <cellStyle name="Heading 2 2 2" xfId="248" xr:uid="{00000000-0005-0000-0000-0000F4090000}"/>
    <cellStyle name="Heading 2 2 3" xfId="117" xr:uid="{00000000-0005-0000-0000-0000F5090000}"/>
    <cellStyle name="Heading 2 3" xfId="305" xr:uid="{00000000-0005-0000-0000-0000F6090000}"/>
    <cellStyle name="Heading 3" xfId="12" builtinId="18" customBuiltin="1"/>
    <cellStyle name="Heading 3 2" xfId="84" xr:uid="{00000000-0005-0000-0000-0000F8090000}"/>
    <cellStyle name="Heading 3 2 2" xfId="249" xr:uid="{00000000-0005-0000-0000-0000F9090000}"/>
    <cellStyle name="Heading 3 2 3" xfId="114" xr:uid="{00000000-0005-0000-0000-0000FA090000}"/>
    <cellStyle name="Heading 3 3" xfId="306" xr:uid="{00000000-0005-0000-0000-0000FB090000}"/>
    <cellStyle name="Heading 4" xfId="13" builtinId="19" customBuiltin="1"/>
    <cellStyle name="Heading 4 2" xfId="85" xr:uid="{00000000-0005-0000-0000-0000FD090000}"/>
    <cellStyle name="Heading 4 2 2" xfId="250" xr:uid="{00000000-0005-0000-0000-0000FE090000}"/>
    <cellStyle name="Heading 4 2 3" xfId="113" xr:uid="{00000000-0005-0000-0000-0000FF090000}"/>
    <cellStyle name="Heading 4 3" xfId="307" xr:uid="{00000000-0005-0000-0000-0000000A0000}"/>
    <cellStyle name="Hyperlink" xfId="8" builtinId="8"/>
    <cellStyle name="Hyperlink 2" xfId="207" xr:uid="{00000000-0005-0000-0000-0000020A0000}"/>
    <cellStyle name="Hyperlink 2 2" xfId="282" xr:uid="{00000000-0005-0000-0000-0000030A0000}"/>
    <cellStyle name="Hyperlink 3" xfId="162" xr:uid="{00000000-0005-0000-0000-0000040A0000}"/>
    <cellStyle name="Hyperlink 4" xfId="194" xr:uid="{00000000-0005-0000-0000-0000050A0000}"/>
    <cellStyle name="Hyperlink 5" xfId="281" xr:uid="{00000000-0005-0000-0000-0000060A0000}"/>
    <cellStyle name="Hyperlink 6" xfId="86" xr:uid="{00000000-0005-0000-0000-0000070A0000}"/>
    <cellStyle name="Input" xfId="17" builtinId="20" customBuiltin="1"/>
    <cellStyle name="Input 2" xfId="87" xr:uid="{00000000-0005-0000-0000-0000090A0000}"/>
    <cellStyle name="Input 2 2" xfId="251" xr:uid="{00000000-0005-0000-0000-00000A0A0000}"/>
    <cellStyle name="Input 2 3" xfId="198" xr:uid="{00000000-0005-0000-0000-00000B0A0000}"/>
    <cellStyle name="Linked Cell" xfId="20" builtinId="24" customBuiltin="1"/>
    <cellStyle name="Linked Cell 2" xfId="88" xr:uid="{00000000-0005-0000-0000-00000D0A0000}"/>
    <cellStyle name="Linked Cell 2 2" xfId="252" xr:uid="{00000000-0005-0000-0000-00000E0A0000}"/>
    <cellStyle name="Linked Cell 2 3" xfId="203" xr:uid="{00000000-0005-0000-0000-00000F0A0000}"/>
    <cellStyle name="Neutral" xfId="16" builtinId="28" customBuiltin="1"/>
    <cellStyle name="Neutral 2" xfId="5" xr:uid="{00000000-0005-0000-0000-0000110A0000}"/>
    <cellStyle name="Neutral 2 2" xfId="253" xr:uid="{00000000-0005-0000-0000-0000120A0000}"/>
    <cellStyle name="Neutral 2 3" xfId="170" xr:uid="{00000000-0005-0000-0000-0000130A0000}"/>
    <cellStyle name="Normal" xfId="0" builtinId="0"/>
    <cellStyle name="Normal 10" xfId="254" xr:uid="{00000000-0005-0000-0000-0000150A0000}"/>
    <cellStyle name="Normal 10 2" xfId="412" xr:uid="{00000000-0005-0000-0000-0000160A0000}"/>
    <cellStyle name="Normal 11" xfId="255" xr:uid="{00000000-0005-0000-0000-0000170A0000}"/>
    <cellStyle name="Normal 11 2" xfId="311" xr:uid="{00000000-0005-0000-0000-0000180A0000}"/>
    <cellStyle name="Normal 12" xfId="234" xr:uid="{00000000-0005-0000-0000-0000190A0000}"/>
    <cellStyle name="Normal 12 2" xfId="649" xr:uid="{00000000-0005-0000-0000-00001A0A0000}"/>
    <cellStyle name="Normal 12 2 2" xfId="1047" xr:uid="{00000000-0005-0000-0000-00001B0A0000}"/>
    <cellStyle name="Normal 12 2 2 2" xfId="1845" xr:uid="{00000000-0005-0000-0000-00001C0A0000}"/>
    <cellStyle name="Normal 12 2 2 2 2" xfId="3441" xr:uid="{00000000-0005-0000-0000-00001D0A0000}"/>
    <cellStyle name="Normal 12 2 2 3" xfId="2643" xr:uid="{00000000-0005-0000-0000-00001E0A0000}"/>
    <cellStyle name="Normal 12 2 3" xfId="1446" xr:uid="{00000000-0005-0000-0000-00001F0A0000}"/>
    <cellStyle name="Normal 12 2 3 2" xfId="3042" xr:uid="{00000000-0005-0000-0000-0000200A0000}"/>
    <cellStyle name="Normal 12 2 4" xfId="2244" xr:uid="{00000000-0005-0000-0000-0000210A0000}"/>
    <cellStyle name="Normal 12 3" xfId="847" xr:uid="{00000000-0005-0000-0000-0000220A0000}"/>
    <cellStyle name="Normal 12 3 2" xfId="1645" xr:uid="{00000000-0005-0000-0000-0000230A0000}"/>
    <cellStyle name="Normal 12 3 2 2" xfId="3241" xr:uid="{00000000-0005-0000-0000-0000240A0000}"/>
    <cellStyle name="Normal 12 3 3" xfId="2443" xr:uid="{00000000-0005-0000-0000-0000250A0000}"/>
    <cellStyle name="Normal 12 4" xfId="1246" xr:uid="{00000000-0005-0000-0000-0000260A0000}"/>
    <cellStyle name="Normal 12 4 2" xfId="2842" xr:uid="{00000000-0005-0000-0000-0000270A0000}"/>
    <cellStyle name="Normal 12 5" xfId="2044" xr:uid="{00000000-0005-0000-0000-0000280A0000}"/>
    <cellStyle name="Normal 12 6" xfId="449" xr:uid="{00000000-0005-0000-0000-0000290A0000}"/>
    <cellStyle name="Normal 13" xfId="256" xr:uid="{00000000-0005-0000-0000-00002A0A0000}"/>
    <cellStyle name="Normal 14" xfId="257" xr:uid="{00000000-0005-0000-0000-00002B0A0000}"/>
    <cellStyle name="Normal 15" xfId="235" xr:uid="{00000000-0005-0000-0000-00002C0A0000}"/>
    <cellStyle name="Normal 16" xfId="100" xr:uid="{00000000-0005-0000-0000-00002D0A0000}"/>
    <cellStyle name="Normal 17" xfId="48" xr:uid="{00000000-0005-0000-0000-00002E0A0000}"/>
    <cellStyle name="Normal 18" xfId="287" xr:uid="{00000000-0005-0000-0000-00002F0A0000}"/>
    <cellStyle name="Normal 2" xfId="4" xr:uid="{00000000-0005-0000-0000-0000300A0000}"/>
    <cellStyle name="Normal 2 2" xfId="206" xr:uid="{00000000-0005-0000-0000-0000310A0000}"/>
    <cellStyle name="Normal 2 2 2" xfId="260" xr:uid="{00000000-0005-0000-0000-0000320A0000}"/>
    <cellStyle name="Normal 2 2 2 2" xfId="601" xr:uid="{00000000-0005-0000-0000-0000330A0000}"/>
    <cellStyle name="Normal 2 2 2 2 2" xfId="999" xr:uid="{00000000-0005-0000-0000-0000340A0000}"/>
    <cellStyle name="Normal 2 2 2 2 2 2" xfId="1797" xr:uid="{00000000-0005-0000-0000-0000350A0000}"/>
    <cellStyle name="Normal 2 2 2 2 2 2 2" xfId="3393" xr:uid="{00000000-0005-0000-0000-0000360A0000}"/>
    <cellStyle name="Normal 2 2 2 2 2 3" xfId="2595" xr:uid="{00000000-0005-0000-0000-0000370A0000}"/>
    <cellStyle name="Normal 2 2 2 2 3" xfId="1398" xr:uid="{00000000-0005-0000-0000-0000380A0000}"/>
    <cellStyle name="Normal 2 2 2 2 3 2" xfId="2994" xr:uid="{00000000-0005-0000-0000-0000390A0000}"/>
    <cellStyle name="Normal 2 2 2 2 4" xfId="2196" xr:uid="{00000000-0005-0000-0000-00003A0A0000}"/>
    <cellStyle name="Normal 2 2 2 3" xfId="800" xr:uid="{00000000-0005-0000-0000-00003B0A0000}"/>
    <cellStyle name="Normal 2 2 2 3 2" xfId="1597" xr:uid="{00000000-0005-0000-0000-00003C0A0000}"/>
    <cellStyle name="Normal 2 2 2 3 2 2" xfId="3193" xr:uid="{00000000-0005-0000-0000-00003D0A0000}"/>
    <cellStyle name="Normal 2 2 2 3 3" xfId="2395" xr:uid="{00000000-0005-0000-0000-00003E0A0000}"/>
    <cellStyle name="Normal 2 2 2 4" xfId="1198" xr:uid="{00000000-0005-0000-0000-00003F0A0000}"/>
    <cellStyle name="Normal 2 2 2 4 2" xfId="2794" xr:uid="{00000000-0005-0000-0000-0000400A0000}"/>
    <cellStyle name="Normal 2 2 2 5" xfId="1996" xr:uid="{00000000-0005-0000-0000-0000410A0000}"/>
    <cellStyle name="Normal 2 2 3" xfId="259" xr:uid="{00000000-0005-0000-0000-0000420A0000}"/>
    <cellStyle name="Normal 2 2 3 2" xfId="602" xr:uid="{00000000-0005-0000-0000-0000430A0000}"/>
    <cellStyle name="Normal 2 2 3 2 2" xfId="1000" xr:uid="{00000000-0005-0000-0000-0000440A0000}"/>
    <cellStyle name="Normal 2 2 3 2 2 2" xfId="1798" xr:uid="{00000000-0005-0000-0000-0000450A0000}"/>
    <cellStyle name="Normal 2 2 3 2 2 2 2" xfId="3394" xr:uid="{00000000-0005-0000-0000-0000460A0000}"/>
    <cellStyle name="Normal 2 2 3 2 2 3" xfId="2596" xr:uid="{00000000-0005-0000-0000-0000470A0000}"/>
    <cellStyle name="Normal 2 2 3 2 3" xfId="1399" xr:uid="{00000000-0005-0000-0000-0000480A0000}"/>
    <cellStyle name="Normal 2 2 3 2 3 2" xfId="2995" xr:uid="{00000000-0005-0000-0000-0000490A0000}"/>
    <cellStyle name="Normal 2 2 3 2 4" xfId="2197" xr:uid="{00000000-0005-0000-0000-00004A0A0000}"/>
    <cellStyle name="Normal 2 2 3 3" xfId="801" xr:uid="{00000000-0005-0000-0000-00004B0A0000}"/>
    <cellStyle name="Normal 2 2 3 3 2" xfId="1598" xr:uid="{00000000-0005-0000-0000-00004C0A0000}"/>
    <cellStyle name="Normal 2 2 3 3 2 2" xfId="3194" xr:uid="{00000000-0005-0000-0000-00004D0A0000}"/>
    <cellStyle name="Normal 2 2 3 3 3" xfId="2396" xr:uid="{00000000-0005-0000-0000-00004E0A0000}"/>
    <cellStyle name="Normal 2 2 3 4" xfId="1199" xr:uid="{00000000-0005-0000-0000-00004F0A0000}"/>
    <cellStyle name="Normal 2 2 3 4 2" xfId="2795" xr:uid="{00000000-0005-0000-0000-0000500A0000}"/>
    <cellStyle name="Normal 2 2 3 5" xfId="1997" xr:uid="{00000000-0005-0000-0000-0000510A0000}"/>
    <cellStyle name="Normal 2 2 3 6" xfId="413" xr:uid="{00000000-0005-0000-0000-0000520A0000}"/>
    <cellStyle name="Normal 2 2 4" xfId="414" xr:uid="{00000000-0005-0000-0000-0000530A0000}"/>
    <cellStyle name="Normal 2 2 4 2" xfId="603" xr:uid="{00000000-0005-0000-0000-0000540A0000}"/>
    <cellStyle name="Normal 2 2 4 2 2" xfId="1001" xr:uid="{00000000-0005-0000-0000-0000550A0000}"/>
    <cellStyle name="Normal 2 2 4 2 2 2" xfId="1799" xr:uid="{00000000-0005-0000-0000-0000560A0000}"/>
    <cellStyle name="Normal 2 2 4 2 2 2 2" xfId="3395" xr:uid="{00000000-0005-0000-0000-0000570A0000}"/>
    <cellStyle name="Normal 2 2 4 2 2 3" xfId="2597" xr:uid="{00000000-0005-0000-0000-0000580A0000}"/>
    <cellStyle name="Normal 2 2 4 2 3" xfId="1400" xr:uid="{00000000-0005-0000-0000-0000590A0000}"/>
    <cellStyle name="Normal 2 2 4 2 3 2" xfId="2996" xr:uid="{00000000-0005-0000-0000-00005A0A0000}"/>
    <cellStyle name="Normal 2 2 4 2 4" xfId="2198" xr:uid="{00000000-0005-0000-0000-00005B0A0000}"/>
    <cellStyle name="Normal 2 2 4 3" xfId="802" xr:uid="{00000000-0005-0000-0000-00005C0A0000}"/>
    <cellStyle name="Normal 2 2 4 3 2" xfId="1599" xr:uid="{00000000-0005-0000-0000-00005D0A0000}"/>
    <cellStyle name="Normal 2 2 4 3 2 2" xfId="3195" xr:uid="{00000000-0005-0000-0000-00005E0A0000}"/>
    <cellStyle name="Normal 2 2 4 3 3" xfId="2397" xr:uid="{00000000-0005-0000-0000-00005F0A0000}"/>
    <cellStyle name="Normal 2 2 4 4" xfId="1200" xr:uid="{00000000-0005-0000-0000-0000600A0000}"/>
    <cellStyle name="Normal 2 2 4 4 2" xfId="2796" xr:uid="{00000000-0005-0000-0000-0000610A0000}"/>
    <cellStyle name="Normal 2 2 4 5" xfId="1998" xr:uid="{00000000-0005-0000-0000-0000620A0000}"/>
    <cellStyle name="Normal 2 3" xfId="178" xr:uid="{00000000-0005-0000-0000-0000630A0000}"/>
    <cellStyle name="Normal 2 3 2" xfId="261" xr:uid="{00000000-0005-0000-0000-0000640A0000}"/>
    <cellStyle name="Normal 2 4" xfId="174" xr:uid="{00000000-0005-0000-0000-0000650A0000}"/>
    <cellStyle name="Normal 2 5" xfId="200" xr:uid="{00000000-0005-0000-0000-0000660A0000}"/>
    <cellStyle name="Normal 2 6" xfId="258" xr:uid="{00000000-0005-0000-0000-0000670A0000}"/>
    <cellStyle name="Normal 2 7" xfId="118" xr:uid="{00000000-0005-0000-0000-0000680A0000}"/>
    <cellStyle name="Normal 3" xfId="89" xr:uid="{00000000-0005-0000-0000-0000690A0000}"/>
    <cellStyle name="Normal 3 2" xfId="173" xr:uid="{00000000-0005-0000-0000-00006A0A0000}"/>
    <cellStyle name="Normal 3 2 2" xfId="262" xr:uid="{00000000-0005-0000-0000-00006B0A0000}"/>
    <cellStyle name="Normal 3 2 2 2" xfId="417" xr:uid="{00000000-0005-0000-0000-00006C0A0000}"/>
    <cellStyle name="Normal 3 2 2 2 2" xfId="607" xr:uid="{00000000-0005-0000-0000-00006D0A0000}"/>
    <cellStyle name="Normal 3 2 2 2 2 2" xfId="1005" xr:uid="{00000000-0005-0000-0000-00006E0A0000}"/>
    <cellStyle name="Normal 3 2 2 2 2 2 2" xfId="1803" xr:uid="{00000000-0005-0000-0000-00006F0A0000}"/>
    <cellStyle name="Normal 3 2 2 2 2 2 2 2" xfId="3399" xr:uid="{00000000-0005-0000-0000-0000700A0000}"/>
    <cellStyle name="Normal 3 2 2 2 2 2 3" xfId="2601" xr:uid="{00000000-0005-0000-0000-0000710A0000}"/>
    <cellStyle name="Normal 3 2 2 2 2 3" xfId="1404" xr:uid="{00000000-0005-0000-0000-0000720A0000}"/>
    <cellStyle name="Normal 3 2 2 2 2 3 2" xfId="3000" xr:uid="{00000000-0005-0000-0000-0000730A0000}"/>
    <cellStyle name="Normal 3 2 2 2 2 4" xfId="2202" xr:uid="{00000000-0005-0000-0000-0000740A0000}"/>
    <cellStyle name="Normal 3 2 2 2 3" xfId="806" xr:uid="{00000000-0005-0000-0000-0000750A0000}"/>
    <cellStyle name="Normal 3 2 2 2 3 2" xfId="1603" xr:uid="{00000000-0005-0000-0000-0000760A0000}"/>
    <cellStyle name="Normal 3 2 2 2 3 2 2" xfId="3199" xr:uid="{00000000-0005-0000-0000-0000770A0000}"/>
    <cellStyle name="Normal 3 2 2 2 3 3" xfId="2401" xr:uid="{00000000-0005-0000-0000-0000780A0000}"/>
    <cellStyle name="Normal 3 2 2 2 4" xfId="1204" xr:uid="{00000000-0005-0000-0000-0000790A0000}"/>
    <cellStyle name="Normal 3 2 2 2 4 2" xfId="2800" xr:uid="{00000000-0005-0000-0000-00007A0A0000}"/>
    <cellStyle name="Normal 3 2 2 2 5" xfId="2002" xr:uid="{00000000-0005-0000-0000-00007B0A0000}"/>
    <cellStyle name="Normal 3 2 2 3" xfId="418" xr:uid="{00000000-0005-0000-0000-00007C0A0000}"/>
    <cellStyle name="Normal 3 2 2 3 2" xfId="608" xr:uid="{00000000-0005-0000-0000-00007D0A0000}"/>
    <cellStyle name="Normal 3 2 2 3 2 2" xfId="1006" xr:uid="{00000000-0005-0000-0000-00007E0A0000}"/>
    <cellStyle name="Normal 3 2 2 3 2 2 2" xfId="1804" xr:uid="{00000000-0005-0000-0000-00007F0A0000}"/>
    <cellStyle name="Normal 3 2 2 3 2 2 2 2" xfId="3400" xr:uid="{00000000-0005-0000-0000-0000800A0000}"/>
    <cellStyle name="Normal 3 2 2 3 2 2 3" xfId="2602" xr:uid="{00000000-0005-0000-0000-0000810A0000}"/>
    <cellStyle name="Normal 3 2 2 3 2 3" xfId="1405" xr:uid="{00000000-0005-0000-0000-0000820A0000}"/>
    <cellStyle name="Normal 3 2 2 3 2 3 2" xfId="3001" xr:uid="{00000000-0005-0000-0000-0000830A0000}"/>
    <cellStyle name="Normal 3 2 2 3 2 4" xfId="2203" xr:uid="{00000000-0005-0000-0000-0000840A0000}"/>
    <cellStyle name="Normal 3 2 2 3 3" xfId="807" xr:uid="{00000000-0005-0000-0000-0000850A0000}"/>
    <cellStyle name="Normal 3 2 2 3 3 2" xfId="1604" xr:uid="{00000000-0005-0000-0000-0000860A0000}"/>
    <cellStyle name="Normal 3 2 2 3 3 2 2" xfId="3200" xr:uid="{00000000-0005-0000-0000-0000870A0000}"/>
    <cellStyle name="Normal 3 2 2 3 3 3" xfId="2402" xr:uid="{00000000-0005-0000-0000-0000880A0000}"/>
    <cellStyle name="Normal 3 2 2 3 4" xfId="1205" xr:uid="{00000000-0005-0000-0000-0000890A0000}"/>
    <cellStyle name="Normal 3 2 2 3 4 2" xfId="2801" xr:uid="{00000000-0005-0000-0000-00008A0A0000}"/>
    <cellStyle name="Normal 3 2 2 3 5" xfId="2003" xr:uid="{00000000-0005-0000-0000-00008B0A0000}"/>
    <cellStyle name="Normal 3 2 2 4" xfId="606" xr:uid="{00000000-0005-0000-0000-00008C0A0000}"/>
    <cellStyle name="Normal 3 2 2 4 2" xfId="1004" xr:uid="{00000000-0005-0000-0000-00008D0A0000}"/>
    <cellStyle name="Normal 3 2 2 4 2 2" xfId="1802" xr:uid="{00000000-0005-0000-0000-00008E0A0000}"/>
    <cellStyle name="Normal 3 2 2 4 2 2 2" xfId="3398" xr:uid="{00000000-0005-0000-0000-00008F0A0000}"/>
    <cellStyle name="Normal 3 2 2 4 2 3" xfId="2600" xr:uid="{00000000-0005-0000-0000-0000900A0000}"/>
    <cellStyle name="Normal 3 2 2 4 3" xfId="1403" xr:uid="{00000000-0005-0000-0000-0000910A0000}"/>
    <cellStyle name="Normal 3 2 2 4 3 2" xfId="2999" xr:uid="{00000000-0005-0000-0000-0000920A0000}"/>
    <cellStyle name="Normal 3 2 2 4 4" xfId="2201" xr:uid="{00000000-0005-0000-0000-0000930A0000}"/>
    <cellStyle name="Normal 3 2 2 5" xfId="805" xr:uid="{00000000-0005-0000-0000-0000940A0000}"/>
    <cellStyle name="Normal 3 2 2 5 2" xfId="1602" xr:uid="{00000000-0005-0000-0000-0000950A0000}"/>
    <cellStyle name="Normal 3 2 2 5 2 2" xfId="3198" xr:uid="{00000000-0005-0000-0000-0000960A0000}"/>
    <cellStyle name="Normal 3 2 2 5 3" xfId="2400" xr:uid="{00000000-0005-0000-0000-0000970A0000}"/>
    <cellStyle name="Normal 3 2 2 6" xfId="1203" xr:uid="{00000000-0005-0000-0000-0000980A0000}"/>
    <cellStyle name="Normal 3 2 2 6 2" xfId="2799" xr:uid="{00000000-0005-0000-0000-0000990A0000}"/>
    <cellStyle name="Normal 3 2 2 7" xfId="2001" xr:uid="{00000000-0005-0000-0000-00009A0A0000}"/>
    <cellStyle name="Normal 3 2 2 8" xfId="416" xr:uid="{00000000-0005-0000-0000-00009B0A0000}"/>
    <cellStyle name="Normal 3 2 3" xfId="419" xr:uid="{00000000-0005-0000-0000-00009C0A0000}"/>
    <cellStyle name="Normal 3 2 3 2" xfId="609" xr:uid="{00000000-0005-0000-0000-00009D0A0000}"/>
    <cellStyle name="Normal 3 2 3 2 2" xfId="1007" xr:uid="{00000000-0005-0000-0000-00009E0A0000}"/>
    <cellStyle name="Normal 3 2 3 2 2 2" xfId="1805" xr:uid="{00000000-0005-0000-0000-00009F0A0000}"/>
    <cellStyle name="Normal 3 2 3 2 2 2 2" xfId="3401" xr:uid="{00000000-0005-0000-0000-0000A00A0000}"/>
    <cellStyle name="Normal 3 2 3 2 2 3" xfId="2603" xr:uid="{00000000-0005-0000-0000-0000A10A0000}"/>
    <cellStyle name="Normal 3 2 3 2 3" xfId="1406" xr:uid="{00000000-0005-0000-0000-0000A20A0000}"/>
    <cellStyle name="Normal 3 2 3 2 3 2" xfId="3002" xr:uid="{00000000-0005-0000-0000-0000A30A0000}"/>
    <cellStyle name="Normal 3 2 3 2 4" xfId="2204" xr:uid="{00000000-0005-0000-0000-0000A40A0000}"/>
    <cellStyle name="Normal 3 2 3 3" xfId="808" xr:uid="{00000000-0005-0000-0000-0000A50A0000}"/>
    <cellStyle name="Normal 3 2 3 3 2" xfId="1605" xr:uid="{00000000-0005-0000-0000-0000A60A0000}"/>
    <cellStyle name="Normal 3 2 3 3 2 2" xfId="3201" xr:uid="{00000000-0005-0000-0000-0000A70A0000}"/>
    <cellStyle name="Normal 3 2 3 3 3" xfId="2403" xr:uid="{00000000-0005-0000-0000-0000A80A0000}"/>
    <cellStyle name="Normal 3 2 3 4" xfId="1206" xr:uid="{00000000-0005-0000-0000-0000A90A0000}"/>
    <cellStyle name="Normal 3 2 3 4 2" xfId="2802" xr:uid="{00000000-0005-0000-0000-0000AA0A0000}"/>
    <cellStyle name="Normal 3 2 3 5" xfId="2004" xr:uid="{00000000-0005-0000-0000-0000AB0A0000}"/>
    <cellStyle name="Normal 3 2 4" xfId="420" xr:uid="{00000000-0005-0000-0000-0000AC0A0000}"/>
    <cellStyle name="Normal 3 2 4 2" xfId="610" xr:uid="{00000000-0005-0000-0000-0000AD0A0000}"/>
    <cellStyle name="Normal 3 2 4 2 2" xfId="1008" xr:uid="{00000000-0005-0000-0000-0000AE0A0000}"/>
    <cellStyle name="Normal 3 2 4 2 2 2" xfId="1806" xr:uid="{00000000-0005-0000-0000-0000AF0A0000}"/>
    <cellStyle name="Normal 3 2 4 2 2 2 2" xfId="3402" xr:uid="{00000000-0005-0000-0000-0000B00A0000}"/>
    <cellStyle name="Normal 3 2 4 2 2 3" xfId="2604" xr:uid="{00000000-0005-0000-0000-0000B10A0000}"/>
    <cellStyle name="Normal 3 2 4 2 3" xfId="1407" xr:uid="{00000000-0005-0000-0000-0000B20A0000}"/>
    <cellStyle name="Normal 3 2 4 2 3 2" xfId="3003" xr:uid="{00000000-0005-0000-0000-0000B30A0000}"/>
    <cellStyle name="Normal 3 2 4 2 4" xfId="2205" xr:uid="{00000000-0005-0000-0000-0000B40A0000}"/>
    <cellStyle name="Normal 3 2 4 3" xfId="809" xr:uid="{00000000-0005-0000-0000-0000B50A0000}"/>
    <cellStyle name="Normal 3 2 4 3 2" xfId="1606" xr:uid="{00000000-0005-0000-0000-0000B60A0000}"/>
    <cellStyle name="Normal 3 2 4 3 2 2" xfId="3202" xr:uid="{00000000-0005-0000-0000-0000B70A0000}"/>
    <cellStyle name="Normal 3 2 4 3 3" xfId="2404" xr:uid="{00000000-0005-0000-0000-0000B80A0000}"/>
    <cellStyle name="Normal 3 2 4 4" xfId="1207" xr:uid="{00000000-0005-0000-0000-0000B90A0000}"/>
    <cellStyle name="Normal 3 2 4 4 2" xfId="2803" xr:uid="{00000000-0005-0000-0000-0000BA0A0000}"/>
    <cellStyle name="Normal 3 2 4 5" xfId="2005" xr:uid="{00000000-0005-0000-0000-0000BB0A0000}"/>
    <cellStyle name="Normal 3 2 5" xfId="605" xr:uid="{00000000-0005-0000-0000-0000BC0A0000}"/>
    <cellStyle name="Normal 3 2 5 2" xfId="1003" xr:uid="{00000000-0005-0000-0000-0000BD0A0000}"/>
    <cellStyle name="Normal 3 2 5 2 2" xfId="1801" xr:uid="{00000000-0005-0000-0000-0000BE0A0000}"/>
    <cellStyle name="Normal 3 2 5 2 2 2" xfId="3397" xr:uid="{00000000-0005-0000-0000-0000BF0A0000}"/>
    <cellStyle name="Normal 3 2 5 2 3" xfId="2599" xr:uid="{00000000-0005-0000-0000-0000C00A0000}"/>
    <cellStyle name="Normal 3 2 5 3" xfId="1402" xr:uid="{00000000-0005-0000-0000-0000C10A0000}"/>
    <cellStyle name="Normal 3 2 5 3 2" xfId="2998" xr:uid="{00000000-0005-0000-0000-0000C20A0000}"/>
    <cellStyle name="Normal 3 2 5 4" xfId="2200" xr:uid="{00000000-0005-0000-0000-0000C30A0000}"/>
    <cellStyle name="Normal 3 2 6" xfId="804" xr:uid="{00000000-0005-0000-0000-0000C40A0000}"/>
    <cellStyle name="Normal 3 2 6 2" xfId="1601" xr:uid="{00000000-0005-0000-0000-0000C50A0000}"/>
    <cellStyle name="Normal 3 2 6 2 2" xfId="3197" xr:uid="{00000000-0005-0000-0000-0000C60A0000}"/>
    <cellStyle name="Normal 3 2 6 3" xfId="2399" xr:uid="{00000000-0005-0000-0000-0000C70A0000}"/>
    <cellStyle name="Normal 3 2 7" xfId="1202" xr:uid="{00000000-0005-0000-0000-0000C80A0000}"/>
    <cellStyle name="Normal 3 2 7 2" xfId="2798" xr:uid="{00000000-0005-0000-0000-0000C90A0000}"/>
    <cellStyle name="Normal 3 2 8" xfId="2000" xr:uid="{00000000-0005-0000-0000-0000CA0A0000}"/>
    <cellStyle name="Normal 3 2 9" xfId="415" xr:uid="{00000000-0005-0000-0000-0000CB0A0000}"/>
    <cellStyle name="Normal 3 3" xfId="201" xr:uid="{00000000-0005-0000-0000-0000CC0A0000}"/>
    <cellStyle name="Normal 3 3 2" xfId="422" xr:uid="{00000000-0005-0000-0000-0000CD0A0000}"/>
    <cellStyle name="Normal 3 3 2 2" xfId="612" xr:uid="{00000000-0005-0000-0000-0000CE0A0000}"/>
    <cellStyle name="Normal 3 3 2 2 2" xfId="1010" xr:uid="{00000000-0005-0000-0000-0000CF0A0000}"/>
    <cellStyle name="Normal 3 3 2 2 2 2" xfId="1808" xr:uid="{00000000-0005-0000-0000-0000D00A0000}"/>
    <cellStyle name="Normal 3 3 2 2 2 2 2" xfId="3404" xr:uid="{00000000-0005-0000-0000-0000D10A0000}"/>
    <cellStyle name="Normal 3 3 2 2 2 3" xfId="2606" xr:uid="{00000000-0005-0000-0000-0000D20A0000}"/>
    <cellStyle name="Normal 3 3 2 2 3" xfId="1409" xr:uid="{00000000-0005-0000-0000-0000D30A0000}"/>
    <cellStyle name="Normal 3 3 2 2 3 2" xfId="3005" xr:uid="{00000000-0005-0000-0000-0000D40A0000}"/>
    <cellStyle name="Normal 3 3 2 2 4" xfId="2207" xr:uid="{00000000-0005-0000-0000-0000D50A0000}"/>
    <cellStyle name="Normal 3 3 2 3" xfId="811" xr:uid="{00000000-0005-0000-0000-0000D60A0000}"/>
    <cellStyle name="Normal 3 3 2 3 2" xfId="1608" xr:uid="{00000000-0005-0000-0000-0000D70A0000}"/>
    <cellStyle name="Normal 3 3 2 3 2 2" xfId="3204" xr:uid="{00000000-0005-0000-0000-0000D80A0000}"/>
    <cellStyle name="Normal 3 3 2 3 3" xfId="2406" xr:uid="{00000000-0005-0000-0000-0000D90A0000}"/>
    <cellStyle name="Normal 3 3 2 4" xfId="1209" xr:uid="{00000000-0005-0000-0000-0000DA0A0000}"/>
    <cellStyle name="Normal 3 3 2 4 2" xfId="2805" xr:uid="{00000000-0005-0000-0000-0000DB0A0000}"/>
    <cellStyle name="Normal 3 3 2 5" xfId="2007" xr:uid="{00000000-0005-0000-0000-0000DC0A0000}"/>
    <cellStyle name="Normal 3 3 3" xfId="423" xr:uid="{00000000-0005-0000-0000-0000DD0A0000}"/>
    <cellStyle name="Normal 3 3 3 2" xfId="613" xr:uid="{00000000-0005-0000-0000-0000DE0A0000}"/>
    <cellStyle name="Normal 3 3 3 2 2" xfId="1011" xr:uid="{00000000-0005-0000-0000-0000DF0A0000}"/>
    <cellStyle name="Normal 3 3 3 2 2 2" xfId="1809" xr:uid="{00000000-0005-0000-0000-0000E00A0000}"/>
    <cellStyle name="Normal 3 3 3 2 2 2 2" xfId="3405" xr:uid="{00000000-0005-0000-0000-0000E10A0000}"/>
    <cellStyle name="Normal 3 3 3 2 2 3" xfId="2607" xr:uid="{00000000-0005-0000-0000-0000E20A0000}"/>
    <cellStyle name="Normal 3 3 3 2 3" xfId="1410" xr:uid="{00000000-0005-0000-0000-0000E30A0000}"/>
    <cellStyle name="Normal 3 3 3 2 3 2" xfId="3006" xr:uid="{00000000-0005-0000-0000-0000E40A0000}"/>
    <cellStyle name="Normal 3 3 3 2 4" xfId="2208" xr:uid="{00000000-0005-0000-0000-0000E50A0000}"/>
    <cellStyle name="Normal 3 3 3 3" xfId="812" xr:uid="{00000000-0005-0000-0000-0000E60A0000}"/>
    <cellStyle name="Normal 3 3 3 3 2" xfId="1609" xr:uid="{00000000-0005-0000-0000-0000E70A0000}"/>
    <cellStyle name="Normal 3 3 3 3 2 2" xfId="3205" xr:uid="{00000000-0005-0000-0000-0000E80A0000}"/>
    <cellStyle name="Normal 3 3 3 3 3" xfId="2407" xr:uid="{00000000-0005-0000-0000-0000E90A0000}"/>
    <cellStyle name="Normal 3 3 3 4" xfId="1210" xr:uid="{00000000-0005-0000-0000-0000EA0A0000}"/>
    <cellStyle name="Normal 3 3 3 4 2" xfId="2806" xr:uid="{00000000-0005-0000-0000-0000EB0A0000}"/>
    <cellStyle name="Normal 3 3 3 5" xfId="2008" xr:uid="{00000000-0005-0000-0000-0000EC0A0000}"/>
    <cellStyle name="Normal 3 3 4" xfId="611" xr:uid="{00000000-0005-0000-0000-0000ED0A0000}"/>
    <cellStyle name="Normal 3 3 4 2" xfId="1009" xr:uid="{00000000-0005-0000-0000-0000EE0A0000}"/>
    <cellStyle name="Normal 3 3 4 2 2" xfId="1807" xr:uid="{00000000-0005-0000-0000-0000EF0A0000}"/>
    <cellStyle name="Normal 3 3 4 2 2 2" xfId="3403" xr:uid="{00000000-0005-0000-0000-0000F00A0000}"/>
    <cellStyle name="Normal 3 3 4 2 3" xfId="2605" xr:uid="{00000000-0005-0000-0000-0000F10A0000}"/>
    <cellStyle name="Normal 3 3 4 3" xfId="1408" xr:uid="{00000000-0005-0000-0000-0000F20A0000}"/>
    <cellStyle name="Normal 3 3 4 3 2" xfId="3004" xr:uid="{00000000-0005-0000-0000-0000F30A0000}"/>
    <cellStyle name="Normal 3 3 4 4" xfId="2206" xr:uid="{00000000-0005-0000-0000-0000F40A0000}"/>
    <cellStyle name="Normal 3 3 5" xfId="810" xr:uid="{00000000-0005-0000-0000-0000F50A0000}"/>
    <cellStyle name="Normal 3 3 5 2" xfId="1607" xr:uid="{00000000-0005-0000-0000-0000F60A0000}"/>
    <cellStyle name="Normal 3 3 5 2 2" xfId="3203" xr:uid="{00000000-0005-0000-0000-0000F70A0000}"/>
    <cellStyle name="Normal 3 3 5 3" xfId="2405" xr:uid="{00000000-0005-0000-0000-0000F80A0000}"/>
    <cellStyle name="Normal 3 3 6" xfId="1208" xr:uid="{00000000-0005-0000-0000-0000F90A0000}"/>
    <cellStyle name="Normal 3 3 6 2" xfId="2804" xr:uid="{00000000-0005-0000-0000-0000FA0A0000}"/>
    <cellStyle name="Normal 3 3 7" xfId="2006" xr:uid="{00000000-0005-0000-0000-0000FB0A0000}"/>
    <cellStyle name="Normal 3 3 8" xfId="421" xr:uid="{00000000-0005-0000-0000-0000FC0A0000}"/>
    <cellStyle name="Normal 3 4" xfId="133" xr:uid="{00000000-0005-0000-0000-0000FD0A0000}"/>
    <cellStyle name="Normal 3 4 2" xfId="614" xr:uid="{00000000-0005-0000-0000-0000FE0A0000}"/>
    <cellStyle name="Normal 3 4 2 2" xfId="1012" xr:uid="{00000000-0005-0000-0000-0000FF0A0000}"/>
    <cellStyle name="Normal 3 4 2 2 2" xfId="1810" xr:uid="{00000000-0005-0000-0000-0000000B0000}"/>
    <cellStyle name="Normal 3 4 2 2 2 2" xfId="3406" xr:uid="{00000000-0005-0000-0000-0000010B0000}"/>
    <cellStyle name="Normal 3 4 2 2 3" xfId="2608" xr:uid="{00000000-0005-0000-0000-0000020B0000}"/>
    <cellStyle name="Normal 3 4 2 3" xfId="1411" xr:uid="{00000000-0005-0000-0000-0000030B0000}"/>
    <cellStyle name="Normal 3 4 2 3 2" xfId="3007" xr:uid="{00000000-0005-0000-0000-0000040B0000}"/>
    <cellStyle name="Normal 3 4 2 4" xfId="2209" xr:uid="{00000000-0005-0000-0000-0000050B0000}"/>
    <cellStyle name="Normal 3 4 3" xfId="813" xr:uid="{00000000-0005-0000-0000-0000060B0000}"/>
    <cellStyle name="Normal 3 4 3 2" xfId="1610" xr:uid="{00000000-0005-0000-0000-0000070B0000}"/>
    <cellStyle name="Normal 3 4 3 2 2" xfId="3206" xr:uid="{00000000-0005-0000-0000-0000080B0000}"/>
    <cellStyle name="Normal 3 4 3 3" xfId="2408" xr:uid="{00000000-0005-0000-0000-0000090B0000}"/>
    <cellStyle name="Normal 3 4 4" xfId="1211" xr:uid="{00000000-0005-0000-0000-00000A0B0000}"/>
    <cellStyle name="Normal 3 4 4 2" xfId="2807" xr:uid="{00000000-0005-0000-0000-00000B0B0000}"/>
    <cellStyle name="Normal 3 4 5" xfId="2009" xr:uid="{00000000-0005-0000-0000-00000C0B0000}"/>
    <cellStyle name="Normal 3 5" xfId="424" xr:uid="{00000000-0005-0000-0000-00000D0B0000}"/>
    <cellStyle name="Normal 3 5 2" xfId="615" xr:uid="{00000000-0005-0000-0000-00000E0B0000}"/>
    <cellStyle name="Normal 3 5 2 2" xfId="1013" xr:uid="{00000000-0005-0000-0000-00000F0B0000}"/>
    <cellStyle name="Normal 3 5 2 2 2" xfId="1811" xr:uid="{00000000-0005-0000-0000-0000100B0000}"/>
    <cellStyle name="Normal 3 5 2 2 2 2" xfId="3407" xr:uid="{00000000-0005-0000-0000-0000110B0000}"/>
    <cellStyle name="Normal 3 5 2 2 3" xfId="2609" xr:uid="{00000000-0005-0000-0000-0000120B0000}"/>
    <cellStyle name="Normal 3 5 2 3" xfId="1412" xr:uid="{00000000-0005-0000-0000-0000130B0000}"/>
    <cellStyle name="Normal 3 5 2 3 2" xfId="3008" xr:uid="{00000000-0005-0000-0000-0000140B0000}"/>
    <cellStyle name="Normal 3 5 2 4" xfId="2210" xr:uid="{00000000-0005-0000-0000-0000150B0000}"/>
    <cellStyle name="Normal 3 5 3" xfId="814" xr:uid="{00000000-0005-0000-0000-0000160B0000}"/>
    <cellStyle name="Normal 3 5 3 2" xfId="1611" xr:uid="{00000000-0005-0000-0000-0000170B0000}"/>
    <cellStyle name="Normal 3 5 3 2 2" xfId="3207" xr:uid="{00000000-0005-0000-0000-0000180B0000}"/>
    <cellStyle name="Normal 3 5 3 3" xfId="2409" xr:uid="{00000000-0005-0000-0000-0000190B0000}"/>
    <cellStyle name="Normal 3 5 4" xfId="1212" xr:uid="{00000000-0005-0000-0000-00001A0B0000}"/>
    <cellStyle name="Normal 3 5 4 2" xfId="2808" xr:uid="{00000000-0005-0000-0000-00001B0B0000}"/>
    <cellStyle name="Normal 3 5 5" xfId="2010" xr:uid="{00000000-0005-0000-0000-00001C0B0000}"/>
    <cellStyle name="Normal 3 6" xfId="604" xr:uid="{00000000-0005-0000-0000-00001D0B0000}"/>
    <cellStyle name="Normal 3 6 2" xfId="1002" xr:uid="{00000000-0005-0000-0000-00001E0B0000}"/>
    <cellStyle name="Normal 3 6 2 2" xfId="1800" xr:uid="{00000000-0005-0000-0000-00001F0B0000}"/>
    <cellStyle name="Normal 3 6 2 2 2" xfId="3396" xr:uid="{00000000-0005-0000-0000-0000200B0000}"/>
    <cellStyle name="Normal 3 6 2 3" xfId="2598" xr:uid="{00000000-0005-0000-0000-0000210B0000}"/>
    <cellStyle name="Normal 3 6 3" xfId="1401" xr:uid="{00000000-0005-0000-0000-0000220B0000}"/>
    <cellStyle name="Normal 3 6 3 2" xfId="2997" xr:uid="{00000000-0005-0000-0000-0000230B0000}"/>
    <cellStyle name="Normal 3 6 4" xfId="2199" xr:uid="{00000000-0005-0000-0000-0000240B0000}"/>
    <cellStyle name="Normal 3 7" xfId="803" xr:uid="{00000000-0005-0000-0000-0000250B0000}"/>
    <cellStyle name="Normal 3 7 2" xfId="1600" xr:uid="{00000000-0005-0000-0000-0000260B0000}"/>
    <cellStyle name="Normal 3 7 2 2" xfId="3196" xr:uid="{00000000-0005-0000-0000-0000270B0000}"/>
    <cellStyle name="Normal 3 7 3" xfId="2398" xr:uid="{00000000-0005-0000-0000-0000280B0000}"/>
    <cellStyle name="Normal 3 8" xfId="1201" xr:uid="{00000000-0005-0000-0000-0000290B0000}"/>
    <cellStyle name="Normal 3 8 2" xfId="2797" xr:uid="{00000000-0005-0000-0000-00002A0B0000}"/>
    <cellStyle name="Normal 3 9" xfId="1999" xr:uid="{00000000-0005-0000-0000-00002B0B0000}"/>
    <cellStyle name="Normal 4" xfId="90" xr:uid="{00000000-0005-0000-0000-00002C0B0000}"/>
    <cellStyle name="Normal 4 2" xfId="91" xr:uid="{00000000-0005-0000-0000-00002D0B0000}"/>
    <cellStyle name="Normal 4 2 2" xfId="264" xr:uid="{00000000-0005-0000-0000-00002E0B0000}"/>
    <cellStyle name="Normal 4 2 2 2" xfId="426" xr:uid="{00000000-0005-0000-0000-00002F0B0000}"/>
    <cellStyle name="Normal 4 2 2 2 2" xfId="619" xr:uid="{00000000-0005-0000-0000-0000300B0000}"/>
    <cellStyle name="Normal 4 2 2 2 2 2" xfId="1017" xr:uid="{00000000-0005-0000-0000-0000310B0000}"/>
    <cellStyle name="Normal 4 2 2 2 2 2 2" xfId="1815" xr:uid="{00000000-0005-0000-0000-0000320B0000}"/>
    <cellStyle name="Normal 4 2 2 2 2 2 2 2" xfId="3411" xr:uid="{00000000-0005-0000-0000-0000330B0000}"/>
    <cellStyle name="Normal 4 2 2 2 2 2 3" xfId="2613" xr:uid="{00000000-0005-0000-0000-0000340B0000}"/>
    <cellStyle name="Normal 4 2 2 2 2 3" xfId="1416" xr:uid="{00000000-0005-0000-0000-0000350B0000}"/>
    <cellStyle name="Normal 4 2 2 2 2 3 2" xfId="3012" xr:uid="{00000000-0005-0000-0000-0000360B0000}"/>
    <cellStyle name="Normal 4 2 2 2 2 4" xfId="2214" xr:uid="{00000000-0005-0000-0000-0000370B0000}"/>
    <cellStyle name="Normal 4 2 2 2 3" xfId="818" xr:uid="{00000000-0005-0000-0000-0000380B0000}"/>
    <cellStyle name="Normal 4 2 2 2 3 2" xfId="1615" xr:uid="{00000000-0005-0000-0000-0000390B0000}"/>
    <cellStyle name="Normal 4 2 2 2 3 2 2" xfId="3211" xr:uid="{00000000-0005-0000-0000-00003A0B0000}"/>
    <cellStyle name="Normal 4 2 2 2 3 3" xfId="2413" xr:uid="{00000000-0005-0000-0000-00003B0B0000}"/>
    <cellStyle name="Normal 4 2 2 2 4" xfId="1216" xr:uid="{00000000-0005-0000-0000-00003C0B0000}"/>
    <cellStyle name="Normal 4 2 2 2 4 2" xfId="2812" xr:uid="{00000000-0005-0000-0000-00003D0B0000}"/>
    <cellStyle name="Normal 4 2 2 2 5" xfId="2014" xr:uid="{00000000-0005-0000-0000-00003E0B0000}"/>
    <cellStyle name="Normal 4 2 2 3" xfId="427" xr:uid="{00000000-0005-0000-0000-00003F0B0000}"/>
    <cellStyle name="Normal 4 2 2 3 2" xfId="620" xr:uid="{00000000-0005-0000-0000-0000400B0000}"/>
    <cellStyle name="Normal 4 2 2 3 2 2" xfId="1018" xr:uid="{00000000-0005-0000-0000-0000410B0000}"/>
    <cellStyle name="Normal 4 2 2 3 2 2 2" xfId="1816" xr:uid="{00000000-0005-0000-0000-0000420B0000}"/>
    <cellStyle name="Normal 4 2 2 3 2 2 2 2" xfId="3412" xr:uid="{00000000-0005-0000-0000-0000430B0000}"/>
    <cellStyle name="Normal 4 2 2 3 2 2 3" xfId="2614" xr:uid="{00000000-0005-0000-0000-0000440B0000}"/>
    <cellStyle name="Normal 4 2 2 3 2 3" xfId="1417" xr:uid="{00000000-0005-0000-0000-0000450B0000}"/>
    <cellStyle name="Normal 4 2 2 3 2 3 2" xfId="3013" xr:uid="{00000000-0005-0000-0000-0000460B0000}"/>
    <cellStyle name="Normal 4 2 2 3 2 4" xfId="2215" xr:uid="{00000000-0005-0000-0000-0000470B0000}"/>
    <cellStyle name="Normal 4 2 2 3 3" xfId="819" xr:uid="{00000000-0005-0000-0000-0000480B0000}"/>
    <cellStyle name="Normal 4 2 2 3 3 2" xfId="1616" xr:uid="{00000000-0005-0000-0000-0000490B0000}"/>
    <cellStyle name="Normal 4 2 2 3 3 2 2" xfId="3212" xr:uid="{00000000-0005-0000-0000-00004A0B0000}"/>
    <cellStyle name="Normal 4 2 2 3 3 3" xfId="2414" xr:uid="{00000000-0005-0000-0000-00004B0B0000}"/>
    <cellStyle name="Normal 4 2 2 3 4" xfId="1217" xr:uid="{00000000-0005-0000-0000-00004C0B0000}"/>
    <cellStyle name="Normal 4 2 2 3 4 2" xfId="2813" xr:uid="{00000000-0005-0000-0000-00004D0B0000}"/>
    <cellStyle name="Normal 4 2 2 3 5" xfId="2015" xr:uid="{00000000-0005-0000-0000-00004E0B0000}"/>
    <cellStyle name="Normal 4 2 2 4" xfId="618" xr:uid="{00000000-0005-0000-0000-00004F0B0000}"/>
    <cellStyle name="Normal 4 2 2 4 2" xfId="1016" xr:uid="{00000000-0005-0000-0000-0000500B0000}"/>
    <cellStyle name="Normal 4 2 2 4 2 2" xfId="1814" xr:uid="{00000000-0005-0000-0000-0000510B0000}"/>
    <cellStyle name="Normal 4 2 2 4 2 2 2" xfId="3410" xr:uid="{00000000-0005-0000-0000-0000520B0000}"/>
    <cellStyle name="Normal 4 2 2 4 2 3" xfId="2612" xr:uid="{00000000-0005-0000-0000-0000530B0000}"/>
    <cellStyle name="Normal 4 2 2 4 3" xfId="1415" xr:uid="{00000000-0005-0000-0000-0000540B0000}"/>
    <cellStyle name="Normal 4 2 2 4 3 2" xfId="3011" xr:uid="{00000000-0005-0000-0000-0000550B0000}"/>
    <cellStyle name="Normal 4 2 2 4 4" xfId="2213" xr:uid="{00000000-0005-0000-0000-0000560B0000}"/>
    <cellStyle name="Normal 4 2 2 5" xfId="817" xr:uid="{00000000-0005-0000-0000-0000570B0000}"/>
    <cellStyle name="Normal 4 2 2 5 2" xfId="1614" xr:uid="{00000000-0005-0000-0000-0000580B0000}"/>
    <cellStyle name="Normal 4 2 2 5 2 2" xfId="3210" xr:uid="{00000000-0005-0000-0000-0000590B0000}"/>
    <cellStyle name="Normal 4 2 2 5 3" xfId="2412" xr:uid="{00000000-0005-0000-0000-00005A0B0000}"/>
    <cellStyle name="Normal 4 2 2 6" xfId="1215" xr:uid="{00000000-0005-0000-0000-00005B0B0000}"/>
    <cellStyle name="Normal 4 2 2 6 2" xfId="2811" xr:uid="{00000000-0005-0000-0000-00005C0B0000}"/>
    <cellStyle name="Normal 4 2 2 7" xfId="2013" xr:uid="{00000000-0005-0000-0000-00005D0B0000}"/>
    <cellStyle name="Normal 4 2 2 8" xfId="425" xr:uid="{00000000-0005-0000-0000-00005E0B0000}"/>
    <cellStyle name="Normal 4 2 3" xfId="205" xr:uid="{00000000-0005-0000-0000-00005F0B0000}"/>
    <cellStyle name="Normal 4 2 3 2" xfId="621" xr:uid="{00000000-0005-0000-0000-0000600B0000}"/>
    <cellStyle name="Normal 4 2 3 2 2" xfId="1019" xr:uid="{00000000-0005-0000-0000-0000610B0000}"/>
    <cellStyle name="Normal 4 2 3 2 2 2" xfId="1817" xr:uid="{00000000-0005-0000-0000-0000620B0000}"/>
    <cellStyle name="Normal 4 2 3 2 2 2 2" xfId="3413" xr:uid="{00000000-0005-0000-0000-0000630B0000}"/>
    <cellStyle name="Normal 4 2 3 2 2 3" xfId="2615" xr:uid="{00000000-0005-0000-0000-0000640B0000}"/>
    <cellStyle name="Normal 4 2 3 2 3" xfId="1418" xr:uid="{00000000-0005-0000-0000-0000650B0000}"/>
    <cellStyle name="Normal 4 2 3 2 3 2" xfId="3014" xr:uid="{00000000-0005-0000-0000-0000660B0000}"/>
    <cellStyle name="Normal 4 2 3 2 4" xfId="2216" xr:uid="{00000000-0005-0000-0000-0000670B0000}"/>
    <cellStyle name="Normal 4 2 3 3" xfId="820" xr:uid="{00000000-0005-0000-0000-0000680B0000}"/>
    <cellStyle name="Normal 4 2 3 3 2" xfId="1617" xr:uid="{00000000-0005-0000-0000-0000690B0000}"/>
    <cellStyle name="Normal 4 2 3 3 2 2" xfId="3213" xr:uid="{00000000-0005-0000-0000-00006A0B0000}"/>
    <cellStyle name="Normal 4 2 3 3 3" xfId="2415" xr:uid="{00000000-0005-0000-0000-00006B0B0000}"/>
    <cellStyle name="Normal 4 2 3 4" xfId="1218" xr:uid="{00000000-0005-0000-0000-00006C0B0000}"/>
    <cellStyle name="Normal 4 2 3 4 2" xfId="2814" xr:uid="{00000000-0005-0000-0000-00006D0B0000}"/>
    <cellStyle name="Normal 4 2 3 5" xfId="2016" xr:uid="{00000000-0005-0000-0000-00006E0B0000}"/>
    <cellStyle name="Normal 4 2 3 6" xfId="428" xr:uid="{00000000-0005-0000-0000-00006F0B0000}"/>
    <cellStyle name="Normal 4 2 4" xfId="429" xr:uid="{00000000-0005-0000-0000-0000700B0000}"/>
    <cellStyle name="Normal 4 2 4 2" xfId="622" xr:uid="{00000000-0005-0000-0000-0000710B0000}"/>
    <cellStyle name="Normal 4 2 4 2 2" xfId="1020" xr:uid="{00000000-0005-0000-0000-0000720B0000}"/>
    <cellStyle name="Normal 4 2 4 2 2 2" xfId="1818" xr:uid="{00000000-0005-0000-0000-0000730B0000}"/>
    <cellStyle name="Normal 4 2 4 2 2 2 2" xfId="3414" xr:uid="{00000000-0005-0000-0000-0000740B0000}"/>
    <cellStyle name="Normal 4 2 4 2 2 3" xfId="2616" xr:uid="{00000000-0005-0000-0000-0000750B0000}"/>
    <cellStyle name="Normal 4 2 4 2 3" xfId="1419" xr:uid="{00000000-0005-0000-0000-0000760B0000}"/>
    <cellStyle name="Normal 4 2 4 2 3 2" xfId="3015" xr:uid="{00000000-0005-0000-0000-0000770B0000}"/>
    <cellStyle name="Normal 4 2 4 2 4" xfId="2217" xr:uid="{00000000-0005-0000-0000-0000780B0000}"/>
    <cellStyle name="Normal 4 2 4 3" xfId="821" xr:uid="{00000000-0005-0000-0000-0000790B0000}"/>
    <cellStyle name="Normal 4 2 4 3 2" xfId="1618" xr:uid="{00000000-0005-0000-0000-00007A0B0000}"/>
    <cellStyle name="Normal 4 2 4 3 2 2" xfId="3214" xr:uid="{00000000-0005-0000-0000-00007B0B0000}"/>
    <cellStyle name="Normal 4 2 4 3 3" xfId="2416" xr:uid="{00000000-0005-0000-0000-00007C0B0000}"/>
    <cellStyle name="Normal 4 2 4 4" xfId="1219" xr:uid="{00000000-0005-0000-0000-00007D0B0000}"/>
    <cellStyle name="Normal 4 2 4 4 2" xfId="2815" xr:uid="{00000000-0005-0000-0000-00007E0B0000}"/>
    <cellStyle name="Normal 4 2 4 5" xfId="2017" xr:uid="{00000000-0005-0000-0000-00007F0B0000}"/>
    <cellStyle name="Normal 4 2 5" xfId="617" xr:uid="{00000000-0005-0000-0000-0000800B0000}"/>
    <cellStyle name="Normal 4 2 5 2" xfId="1015" xr:uid="{00000000-0005-0000-0000-0000810B0000}"/>
    <cellStyle name="Normal 4 2 5 2 2" xfId="1813" xr:uid="{00000000-0005-0000-0000-0000820B0000}"/>
    <cellStyle name="Normal 4 2 5 2 2 2" xfId="3409" xr:uid="{00000000-0005-0000-0000-0000830B0000}"/>
    <cellStyle name="Normal 4 2 5 2 3" xfId="2611" xr:uid="{00000000-0005-0000-0000-0000840B0000}"/>
    <cellStyle name="Normal 4 2 5 3" xfId="1414" xr:uid="{00000000-0005-0000-0000-0000850B0000}"/>
    <cellStyle name="Normal 4 2 5 3 2" xfId="3010" xr:uid="{00000000-0005-0000-0000-0000860B0000}"/>
    <cellStyle name="Normal 4 2 5 4" xfId="2212" xr:uid="{00000000-0005-0000-0000-0000870B0000}"/>
    <cellStyle name="Normal 4 2 6" xfId="816" xr:uid="{00000000-0005-0000-0000-0000880B0000}"/>
    <cellStyle name="Normal 4 2 6 2" xfId="1613" xr:uid="{00000000-0005-0000-0000-0000890B0000}"/>
    <cellStyle name="Normal 4 2 6 2 2" xfId="3209" xr:uid="{00000000-0005-0000-0000-00008A0B0000}"/>
    <cellStyle name="Normal 4 2 6 3" xfId="2411" xr:uid="{00000000-0005-0000-0000-00008B0B0000}"/>
    <cellStyle name="Normal 4 2 7" xfId="1214" xr:uid="{00000000-0005-0000-0000-00008C0B0000}"/>
    <cellStyle name="Normal 4 2 7 2" xfId="2810" xr:uid="{00000000-0005-0000-0000-00008D0B0000}"/>
    <cellStyle name="Normal 4 2 8" xfId="2012" xr:uid="{00000000-0005-0000-0000-00008E0B0000}"/>
    <cellStyle name="Normal 4 3" xfId="263" xr:uid="{00000000-0005-0000-0000-00008F0B0000}"/>
    <cellStyle name="Normal 4 3 2" xfId="431" xr:uid="{00000000-0005-0000-0000-0000900B0000}"/>
    <cellStyle name="Normal 4 3 2 2" xfId="624" xr:uid="{00000000-0005-0000-0000-0000910B0000}"/>
    <cellStyle name="Normal 4 3 2 2 2" xfId="1022" xr:uid="{00000000-0005-0000-0000-0000920B0000}"/>
    <cellStyle name="Normal 4 3 2 2 2 2" xfId="1820" xr:uid="{00000000-0005-0000-0000-0000930B0000}"/>
    <cellStyle name="Normal 4 3 2 2 2 2 2" xfId="3416" xr:uid="{00000000-0005-0000-0000-0000940B0000}"/>
    <cellStyle name="Normal 4 3 2 2 2 3" xfId="2618" xr:uid="{00000000-0005-0000-0000-0000950B0000}"/>
    <cellStyle name="Normal 4 3 2 2 3" xfId="1421" xr:uid="{00000000-0005-0000-0000-0000960B0000}"/>
    <cellStyle name="Normal 4 3 2 2 3 2" xfId="3017" xr:uid="{00000000-0005-0000-0000-0000970B0000}"/>
    <cellStyle name="Normal 4 3 2 2 4" xfId="2219" xr:uid="{00000000-0005-0000-0000-0000980B0000}"/>
    <cellStyle name="Normal 4 3 2 3" xfId="823" xr:uid="{00000000-0005-0000-0000-0000990B0000}"/>
    <cellStyle name="Normal 4 3 2 3 2" xfId="1620" xr:uid="{00000000-0005-0000-0000-00009A0B0000}"/>
    <cellStyle name="Normal 4 3 2 3 2 2" xfId="3216" xr:uid="{00000000-0005-0000-0000-00009B0B0000}"/>
    <cellStyle name="Normal 4 3 2 3 3" xfId="2418" xr:uid="{00000000-0005-0000-0000-00009C0B0000}"/>
    <cellStyle name="Normal 4 3 2 4" xfId="1221" xr:uid="{00000000-0005-0000-0000-00009D0B0000}"/>
    <cellStyle name="Normal 4 3 2 4 2" xfId="2817" xr:uid="{00000000-0005-0000-0000-00009E0B0000}"/>
    <cellStyle name="Normal 4 3 2 5" xfId="2019" xr:uid="{00000000-0005-0000-0000-00009F0B0000}"/>
    <cellStyle name="Normal 4 3 3" xfId="432" xr:uid="{00000000-0005-0000-0000-0000A00B0000}"/>
    <cellStyle name="Normal 4 3 3 2" xfId="625" xr:uid="{00000000-0005-0000-0000-0000A10B0000}"/>
    <cellStyle name="Normal 4 3 3 2 2" xfId="1023" xr:uid="{00000000-0005-0000-0000-0000A20B0000}"/>
    <cellStyle name="Normal 4 3 3 2 2 2" xfId="1821" xr:uid="{00000000-0005-0000-0000-0000A30B0000}"/>
    <cellStyle name="Normal 4 3 3 2 2 2 2" xfId="3417" xr:uid="{00000000-0005-0000-0000-0000A40B0000}"/>
    <cellStyle name="Normal 4 3 3 2 2 3" xfId="2619" xr:uid="{00000000-0005-0000-0000-0000A50B0000}"/>
    <cellStyle name="Normal 4 3 3 2 3" xfId="1422" xr:uid="{00000000-0005-0000-0000-0000A60B0000}"/>
    <cellStyle name="Normal 4 3 3 2 3 2" xfId="3018" xr:uid="{00000000-0005-0000-0000-0000A70B0000}"/>
    <cellStyle name="Normal 4 3 3 2 4" xfId="2220" xr:uid="{00000000-0005-0000-0000-0000A80B0000}"/>
    <cellStyle name="Normal 4 3 3 3" xfId="824" xr:uid="{00000000-0005-0000-0000-0000A90B0000}"/>
    <cellStyle name="Normal 4 3 3 3 2" xfId="1621" xr:uid="{00000000-0005-0000-0000-0000AA0B0000}"/>
    <cellStyle name="Normal 4 3 3 3 2 2" xfId="3217" xr:uid="{00000000-0005-0000-0000-0000AB0B0000}"/>
    <cellStyle name="Normal 4 3 3 3 3" xfId="2419" xr:uid="{00000000-0005-0000-0000-0000AC0B0000}"/>
    <cellStyle name="Normal 4 3 3 4" xfId="1222" xr:uid="{00000000-0005-0000-0000-0000AD0B0000}"/>
    <cellStyle name="Normal 4 3 3 4 2" xfId="2818" xr:uid="{00000000-0005-0000-0000-0000AE0B0000}"/>
    <cellStyle name="Normal 4 3 3 5" xfId="2020" xr:uid="{00000000-0005-0000-0000-0000AF0B0000}"/>
    <cellStyle name="Normal 4 3 4" xfId="623" xr:uid="{00000000-0005-0000-0000-0000B00B0000}"/>
    <cellStyle name="Normal 4 3 4 2" xfId="1021" xr:uid="{00000000-0005-0000-0000-0000B10B0000}"/>
    <cellStyle name="Normal 4 3 4 2 2" xfId="1819" xr:uid="{00000000-0005-0000-0000-0000B20B0000}"/>
    <cellStyle name="Normal 4 3 4 2 2 2" xfId="3415" xr:uid="{00000000-0005-0000-0000-0000B30B0000}"/>
    <cellStyle name="Normal 4 3 4 2 3" xfId="2617" xr:uid="{00000000-0005-0000-0000-0000B40B0000}"/>
    <cellStyle name="Normal 4 3 4 3" xfId="1420" xr:uid="{00000000-0005-0000-0000-0000B50B0000}"/>
    <cellStyle name="Normal 4 3 4 3 2" xfId="3016" xr:uid="{00000000-0005-0000-0000-0000B60B0000}"/>
    <cellStyle name="Normal 4 3 4 4" xfId="2218" xr:uid="{00000000-0005-0000-0000-0000B70B0000}"/>
    <cellStyle name="Normal 4 3 5" xfId="822" xr:uid="{00000000-0005-0000-0000-0000B80B0000}"/>
    <cellStyle name="Normal 4 3 5 2" xfId="1619" xr:uid="{00000000-0005-0000-0000-0000B90B0000}"/>
    <cellStyle name="Normal 4 3 5 2 2" xfId="3215" xr:uid="{00000000-0005-0000-0000-0000BA0B0000}"/>
    <cellStyle name="Normal 4 3 5 3" xfId="2417" xr:uid="{00000000-0005-0000-0000-0000BB0B0000}"/>
    <cellStyle name="Normal 4 3 6" xfId="1220" xr:uid="{00000000-0005-0000-0000-0000BC0B0000}"/>
    <cellStyle name="Normal 4 3 6 2" xfId="2816" xr:uid="{00000000-0005-0000-0000-0000BD0B0000}"/>
    <cellStyle name="Normal 4 3 7" xfId="2018" xr:uid="{00000000-0005-0000-0000-0000BE0B0000}"/>
    <cellStyle name="Normal 4 3 8" xfId="430" xr:uid="{00000000-0005-0000-0000-0000BF0B0000}"/>
    <cellStyle name="Normal 4 4" xfId="147" xr:uid="{00000000-0005-0000-0000-0000C00B0000}"/>
    <cellStyle name="Normal 4 4 2" xfId="626" xr:uid="{00000000-0005-0000-0000-0000C10B0000}"/>
    <cellStyle name="Normal 4 4 2 2" xfId="1024" xr:uid="{00000000-0005-0000-0000-0000C20B0000}"/>
    <cellStyle name="Normal 4 4 2 2 2" xfId="1822" xr:uid="{00000000-0005-0000-0000-0000C30B0000}"/>
    <cellStyle name="Normal 4 4 2 2 2 2" xfId="3418" xr:uid="{00000000-0005-0000-0000-0000C40B0000}"/>
    <cellStyle name="Normal 4 4 2 2 3" xfId="2620" xr:uid="{00000000-0005-0000-0000-0000C50B0000}"/>
    <cellStyle name="Normal 4 4 2 3" xfId="1423" xr:uid="{00000000-0005-0000-0000-0000C60B0000}"/>
    <cellStyle name="Normal 4 4 2 3 2" xfId="3019" xr:uid="{00000000-0005-0000-0000-0000C70B0000}"/>
    <cellStyle name="Normal 4 4 2 4" xfId="2221" xr:uid="{00000000-0005-0000-0000-0000C80B0000}"/>
    <cellStyle name="Normal 4 4 3" xfId="825" xr:uid="{00000000-0005-0000-0000-0000C90B0000}"/>
    <cellStyle name="Normal 4 4 3 2" xfId="1622" xr:uid="{00000000-0005-0000-0000-0000CA0B0000}"/>
    <cellStyle name="Normal 4 4 3 2 2" xfId="3218" xr:uid="{00000000-0005-0000-0000-0000CB0B0000}"/>
    <cellStyle name="Normal 4 4 3 3" xfId="2420" xr:uid="{00000000-0005-0000-0000-0000CC0B0000}"/>
    <cellStyle name="Normal 4 4 4" xfId="1223" xr:uid="{00000000-0005-0000-0000-0000CD0B0000}"/>
    <cellStyle name="Normal 4 4 4 2" xfId="2819" xr:uid="{00000000-0005-0000-0000-0000CE0B0000}"/>
    <cellStyle name="Normal 4 4 5" xfId="2021" xr:uid="{00000000-0005-0000-0000-0000CF0B0000}"/>
    <cellStyle name="Normal 4 5" xfId="433" xr:uid="{00000000-0005-0000-0000-0000D00B0000}"/>
    <cellStyle name="Normal 4 5 2" xfId="627" xr:uid="{00000000-0005-0000-0000-0000D10B0000}"/>
    <cellStyle name="Normal 4 5 2 2" xfId="1025" xr:uid="{00000000-0005-0000-0000-0000D20B0000}"/>
    <cellStyle name="Normal 4 5 2 2 2" xfId="1823" xr:uid="{00000000-0005-0000-0000-0000D30B0000}"/>
    <cellStyle name="Normal 4 5 2 2 2 2" xfId="3419" xr:uid="{00000000-0005-0000-0000-0000D40B0000}"/>
    <cellStyle name="Normal 4 5 2 2 3" xfId="2621" xr:uid="{00000000-0005-0000-0000-0000D50B0000}"/>
    <cellStyle name="Normal 4 5 2 3" xfId="1424" xr:uid="{00000000-0005-0000-0000-0000D60B0000}"/>
    <cellStyle name="Normal 4 5 2 3 2" xfId="3020" xr:uid="{00000000-0005-0000-0000-0000D70B0000}"/>
    <cellStyle name="Normal 4 5 2 4" xfId="2222" xr:uid="{00000000-0005-0000-0000-0000D80B0000}"/>
    <cellStyle name="Normal 4 5 3" xfId="826" xr:uid="{00000000-0005-0000-0000-0000D90B0000}"/>
    <cellStyle name="Normal 4 5 3 2" xfId="1623" xr:uid="{00000000-0005-0000-0000-0000DA0B0000}"/>
    <cellStyle name="Normal 4 5 3 2 2" xfId="3219" xr:uid="{00000000-0005-0000-0000-0000DB0B0000}"/>
    <cellStyle name="Normal 4 5 3 3" xfId="2421" xr:uid="{00000000-0005-0000-0000-0000DC0B0000}"/>
    <cellStyle name="Normal 4 5 4" xfId="1224" xr:uid="{00000000-0005-0000-0000-0000DD0B0000}"/>
    <cellStyle name="Normal 4 5 4 2" xfId="2820" xr:uid="{00000000-0005-0000-0000-0000DE0B0000}"/>
    <cellStyle name="Normal 4 5 5" xfId="2022" xr:uid="{00000000-0005-0000-0000-0000DF0B0000}"/>
    <cellStyle name="Normal 4 6" xfId="616" xr:uid="{00000000-0005-0000-0000-0000E00B0000}"/>
    <cellStyle name="Normal 4 6 2" xfId="1014" xr:uid="{00000000-0005-0000-0000-0000E10B0000}"/>
    <cellStyle name="Normal 4 6 2 2" xfId="1812" xr:uid="{00000000-0005-0000-0000-0000E20B0000}"/>
    <cellStyle name="Normal 4 6 2 2 2" xfId="3408" xr:uid="{00000000-0005-0000-0000-0000E30B0000}"/>
    <cellStyle name="Normal 4 6 2 3" xfId="2610" xr:uid="{00000000-0005-0000-0000-0000E40B0000}"/>
    <cellStyle name="Normal 4 6 3" xfId="1413" xr:uid="{00000000-0005-0000-0000-0000E50B0000}"/>
    <cellStyle name="Normal 4 6 3 2" xfId="3009" xr:uid="{00000000-0005-0000-0000-0000E60B0000}"/>
    <cellStyle name="Normal 4 6 4" xfId="2211" xr:uid="{00000000-0005-0000-0000-0000E70B0000}"/>
    <cellStyle name="Normal 4 7" xfId="815" xr:uid="{00000000-0005-0000-0000-0000E80B0000}"/>
    <cellStyle name="Normal 4 7 2" xfId="1612" xr:uid="{00000000-0005-0000-0000-0000E90B0000}"/>
    <cellStyle name="Normal 4 7 2 2" xfId="3208" xr:uid="{00000000-0005-0000-0000-0000EA0B0000}"/>
    <cellStyle name="Normal 4 7 3" xfId="2410" xr:uid="{00000000-0005-0000-0000-0000EB0B0000}"/>
    <cellStyle name="Normal 4 8" xfId="1213" xr:uid="{00000000-0005-0000-0000-0000EC0B0000}"/>
    <cellStyle name="Normal 4 8 2" xfId="2809" xr:uid="{00000000-0005-0000-0000-0000ED0B0000}"/>
    <cellStyle name="Normal 4 9" xfId="2011" xr:uid="{00000000-0005-0000-0000-0000EE0B0000}"/>
    <cellStyle name="Normal 5" xfId="104" xr:uid="{00000000-0005-0000-0000-0000EF0B0000}"/>
    <cellStyle name="Normal 5 2" xfId="109" xr:uid="{00000000-0005-0000-0000-0000F00B0000}"/>
    <cellStyle name="Normal 5 2 2" xfId="266" xr:uid="{00000000-0005-0000-0000-0000F10B0000}"/>
    <cellStyle name="Normal 5 2 2 2" xfId="1026" xr:uid="{00000000-0005-0000-0000-0000F20B0000}"/>
    <cellStyle name="Normal 5 2 2 2 2" xfId="1824" xr:uid="{00000000-0005-0000-0000-0000F30B0000}"/>
    <cellStyle name="Normal 5 2 2 2 2 2" xfId="3420" xr:uid="{00000000-0005-0000-0000-0000F40B0000}"/>
    <cellStyle name="Normal 5 2 2 2 3" xfId="2622" xr:uid="{00000000-0005-0000-0000-0000F50B0000}"/>
    <cellStyle name="Normal 5 2 2 3" xfId="1425" xr:uid="{00000000-0005-0000-0000-0000F60B0000}"/>
    <cellStyle name="Normal 5 2 2 3 2" xfId="3021" xr:uid="{00000000-0005-0000-0000-0000F70B0000}"/>
    <cellStyle name="Normal 5 2 2 4" xfId="2223" xr:uid="{00000000-0005-0000-0000-0000F80B0000}"/>
    <cellStyle name="Normal 5 2 2 5" xfId="628" xr:uid="{00000000-0005-0000-0000-0000F90B0000}"/>
    <cellStyle name="Normal 5 2 3" xfId="827" xr:uid="{00000000-0005-0000-0000-0000FA0B0000}"/>
    <cellStyle name="Normal 5 2 3 2" xfId="1624" xr:uid="{00000000-0005-0000-0000-0000FB0B0000}"/>
    <cellStyle name="Normal 5 2 3 2 2" xfId="3220" xr:uid="{00000000-0005-0000-0000-0000FC0B0000}"/>
    <cellStyle name="Normal 5 2 3 3" xfId="2422" xr:uid="{00000000-0005-0000-0000-0000FD0B0000}"/>
    <cellStyle name="Normal 5 2 4" xfId="1225" xr:uid="{00000000-0005-0000-0000-0000FE0B0000}"/>
    <cellStyle name="Normal 5 2 4 2" xfId="2821" xr:uid="{00000000-0005-0000-0000-0000FF0B0000}"/>
    <cellStyle name="Normal 5 2 5" xfId="2023" xr:uid="{00000000-0005-0000-0000-0000000C0000}"/>
    <cellStyle name="Normal 5 2 6" xfId="434" xr:uid="{00000000-0005-0000-0000-0000010C0000}"/>
    <cellStyle name="Normal 5 3" xfId="265" xr:uid="{00000000-0005-0000-0000-0000020C0000}"/>
    <cellStyle name="Normal 5 3 2" xfId="629" xr:uid="{00000000-0005-0000-0000-0000030C0000}"/>
    <cellStyle name="Normal 5 3 2 2" xfId="1027" xr:uid="{00000000-0005-0000-0000-0000040C0000}"/>
    <cellStyle name="Normal 5 3 2 2 2" xfId="1825" xr:uid="{00000000-0005-0000-0000-0000050C0000}"/>
    <cellStyle name="Normal 5 3 2 2 2 2" xfId="3421" xr:uid="{00000000-0005-0000-0000-0000060C0000}"/>
    <cellStyle name="Normal 5 3 2 2 3" xfId="2623" xr:uid="{00000000-0005-0000-0000-0000070C0000}"/>
    <cellStyle name="Normal 5 3 2 3" xfId="1426" xr:uid="{00000000-0005-0000-0000-0000080C0000}"/>
    <cellStyle name="Normal 5 3 2 3 2" xfId="3022" xr:uid="{00000000-0005-0000-0000-0000090C0000}"/>
    <cellStyle name="Normal 5 3 2 4" xfId="2224" xr:uid="{00000000-0005-0000-0000-00000A0C0000}"/>
    <cellStyle name="Normal 5 3 3" xfId="828" xr:uid="{00000000-0005-0000-0000-00000B0C0000}"/>
    <cellStyle name="Normal 5 3 3 2" xfId="1625" xr:uid="{00000000-0005-0000-0000-00000C0C0000}"/>
    <cellStyle name="Normal 5 3 3 2 2" xfId="3221" xr:uid="{00000000-0005-0000-0000-00000D0C0000}"/>
    <cellStyle name="Normal 5 3 3 3" xfId="2423" xr:uid="{00000000-0005-0000-0000-00000E0C0000}"/>
    <cellStyle name="Normal 5 3 4" xfId="1226" xr:uid="{00000000-0005-0000-0000-00000F0C0000}"/>
    <cellStyle name="Normal 5 3 4 2" xfId="2822" xr:uid="{00000000-0005-0000-0000-0000100C0000}"/>
    <cellStyle name="Normal 5 3 5" xfId="2024" xr:uid="{00000000-0005-0000-0000-0000110C0000}"/>
    <cellStyle name="Normal 5 3 6" xfId="435" xr:uid="{00000000-0005-0000-0000-0000120C0000}"/>
    <cellStyle name="Normal 5 4" xfId="436" xr:uid="{00000000-0005-0000-0000-0000130C0000}"/>
    <cellStyle name="Normal 5 4 2" xfId="630" xr:uid="{00000000-0005-0000-0000-0000140C0000}"/>
    <cellStyle name="Normal 5 4 2 2" xfId="1028" xr:uid="{00000000-0005-0000-0000-0000150C0000}"/>
    <cellStyle name="Normal 5 4 2 2 2" xfId="1826" xr:uid="{00000000-0005-0000-0000-0000160C0000}"/>
    <cellStyle name="Normal 5 4 2 2 2 2" xfId="3422" xr:uid="{00000000-0005-0000-0000-0000170C0000}"/>
    <cellStyle name="Normal 5 4 2 2 3" xfId="2624" xr:uid="{00000000-0005-0000-0000-0000180C0000}"/>
    <cellStyle name="Normal 5 4 2 3" xfId="1427" xr:uid="{00000000-0005-0000-0000-0000190C0000}"/>
    <cellStyle name="Normal 5 4 2 3 2" xfId="3023" xr:uid="{00000000-0005-0000-0000-00001A0C0000}"/>
    <cellStyle name="Normal 5 4 2 4" xfId="2225" xr:uid="{00000000-0005-0000-0000-00001B0C0000}"/>
    <cellStyle name="Normal 5 4 3" xfId="829" xr:uid="{00000000-0005-0000-0000-00001C0C0000}"/>
    <cellStyle name="Normal 5 4 3 2" xfId="1626" xr:uid="{00000000-0005-0000-0000-00001D0C0000}"/>
    <cellStyle name="Normal 5 4 3 2 2" xfId="3222" xr:uid="{00000000-0005-0000-0000-00001E0C0000}"/>
    <cellStyle name="Normal 5 4 3 3" xfId="2424" xr:uid="{00000000-0005-0000-0000-00001F0C0000}"/>
    <cellStyle name="Normal 5 4 4" xfId="1227" xr:uid="{00000000-0005-0000-0000-0000200C0000}"/>
    <cellStyle name="Normal 5 4 4 2" xfId="2823" xr:uid="{00000000-0005-0000-0000-0000210C0000}"/>
    <cellStyle name="Normal 5 4 5" xfId="2025" xr:uid="{00000000-0005-0000-0000-0000220C0000}"/>
    <cellStyle name="Normal 5 5" xfId="453" xr:uid="{00000000-0005-0000-0000-0000230C0000}"/>
    <cellStyle name="Normal 5 5 2" xfId="851" xr:uid="{00000000-0005-0000-0000-0000240C0000}"/>
    <cellStyle name="Normal 5 5 2 2" xfId="1649" xr:uid="{00000000-0005-0000-0000-0000250C0000}"/>
    <cellStyle name="Normal 5 5 2 2 2" xfId="3245" xr:uid="{00000000-0005-0000-0000-0000260C0000}"/>
    <cellStyle name="Normal 5 5 2 3" xfId="2447" xr:uid="{00000000-0005-0000-0000-0000270C0000}"/>
    <cellStyle name="Normal 5 5 3" xfId="1250" xr:uid="{00000000-0005-0000-0000-0000280C0000}"/>
    <cellStyle name="Normal 5 5 3 2" xfId="2846" xr:uid="{00000000-0005-0000-0000-0000290C0000}"/>
    <cellStyle name="Normal 5 5 4" xfId="2048" xr:uid="{00000000-0005-0000-0000-00002A0C0000}"/>
    <cellStyle name="Normal 5 6" xfId="652" xr:uid="{00000000-0005-0000-0000-00002B0C0000}"/>
    <cellStyle name="Normal 5 6 2" xfId="1449" xr:uid="{00000000-0005-0000-0000-00002C0C0000}"/>
    <cellStyle name="Normal 5 6 2 2" xfId="3045" xr:uid="{00000000-0005-0000-0000-00002D0C0000}"/>
    <cellStyle name="Normal 5 6 3" xfId="2247" xr:uid="{00000000-0005-0000-0000-00002E0C0000}"/>
    <cellStyle name="Normal 5 7" xfId="1050" xr:uid="{00000000-0005-0000-0000-00002F0C0000}"/>
    <cellStyle name="Normal 5 7 2" xfId="2646" xr:uid="{00000000-0005-0000-0000-0000300C0000}"/>
    <cellStyle name="Normal 5 8" xfId="1848" xr:uid="{00000000-0005-0000-0000-0000310C0000}"/>
    <cellStyle name="Normal 5 9" xfId="312" xr:uid="{00000000-0005-0000-0000-0000320C0000}"/>
    <cellStyle name="Normal 6" xfId="175" xr:uid="{00000000-0005-0000-0000-0000330C0000}"/>
    <cellStyle name="Normal 6 2" xfId="268" xr:uid="{00000000-0005-0000-0000-0000340C0000}"/>
    <cellStyle name="Normal 6 2 2" xfId="1029" xr:uid="{00000000-0005-0000-0000-0000350C0000}"/>
    <cellStyle name="Normal 6 2 2 2" xfId="1827" xr:uid="{00000000-0005-0000-0000-0000360C0000}"/>
    <cellStyle name="Normal 6 2 2 2 2" xfId="3423" xr:uid="{00000000-0005-0000-0000-0000370C0000}"/>
    <cellStyle name="Normal 6 2 2 3" xfId="2625" xr:uid="{00000000-0005-0000-0000-0000380C0000}"/>
    <cellStyle name="Normal 6 2 3" xfId="1428" xr:uid="{00000000-0005-0000-0000-0000390C0000}"/>
    <cellStyle name="Normal 6 2 3 2" xfId="3024" xr:uid="{00000000-0005-0000-0000-00003A0C0000}"/>
    <cellStyle name="Normal 6 2 4" xfId="2226" xr:uid="{00000000-0005-0000-0000-00003B0C0000}"/>
    <cellStyle name="Normal 6 2 5" xfId="631" xr:uid="{00000000-0005-0000-0000-00003C0C0000}"/>
    <cellStyle name="Normal 6 3" xfId="267" xr:uid="{00000000-0005-0000-0000-00003D0C0000}"/>
    <cellStyle name="Normal 6 3 2" xfId="1627" xr:uid="{00000000-0005-0000-0000-00003E0C0000}"/>
    <cellStyle name="Normal 6 3 2 2" xfId="3223" xr:uid="{00000000-0005-0000-0000-00003F0C0000}"/>
    <cellStyle name="Normal 6 3 3" xfId="2425" xr:uid="{00000000-0005-0000-0000-0000400C0000}"/>
    <cellStyle name="Normal 6 3 4" xfId="830" xr:uid="{00000000-0005-0000-0000-0000410C0000}"/>
    <cellStyle name="Normal 6 4" xfId="1228" xr:uid="{00000000-0005-0000-0000-0000420C0000}"/>
    <cellStyle name="Normal 6 4 2" xfId="2824" xr:uid="{00000000-0005-0000-0000-0000430C0000}"/>
    <cellStyle name="Normal 6 5" xfId="2026" xr:uid="{00000000-0005-0000-0000-0000440C0000}"/>
    <cellStyle name="Normal 6 6" xfId="437" xr:uid="{00000000-0005-0000-0000-0000450C0000}"/>
    <cellStyle name="Normal 7" xfId="184" xr:uid="{00000000-0005-0000-0000-0000460C0000}"/>
    <cellStyle name="Normal 7 2" xfId="269" xr:uid="{00000000-0005-0000-0000-0000470C0000}"/>
    <cellStyle name="Normal 7 2 2" xfId="1030" xr:uid="{00000000-0005-0000-0000-0000480C0000}"/>
    <cellStyle name="Normal 7 2 2 2" xfId="1828" xr:uid="{00000000-0005-0000-0000-0000490C0000}"/>
    <cellStyle name="Normal 7 2 2 2 2" xfId="3424" xr:uid="{00000000-0005-0000-0000-00004A0C0000}"/>
    <cellStyle name="Normal 7 2 2 3" xfId="2626" xr:uid="{00000000-0005-0000-0000-00004B0C0000}"/>
    <cellStyle name="Normal 7 2 3" xfId="1429" xr:uid="{00000000-0005-0000-0000-00004C0C0000}"/>
    <cellStyle name="Normal 7 2 3 2" xfId="3025" xr:uid="{00000000-0005-0000-0000-00004D0C0000}"/>
    <cellStyle name="Normal 7 2 4" xfId="2227" xr:uid="{00000000-0005-0000-0000-00004E0C0000}"/>
    <cellStyle name="Normal 7 2 5" xfId="632" xr:uid="{00000000-0005-0000-0000-00004F0C0000}"/>
    <cellStyle name="Normal 7 3" xfId="831" xr:uid="{00000000-0005-0000-0000-0000500C0000}"/>
    <cellStyle name="Normal 7 3 2" xfId="1628" xr:uid="{00000000-0005-0000-0000-0000510C0000}"/>
    <cellStyle name="Normal 7 3 2 2" xfId="3224" xr:uid="{00000000-0005-0000-0000-0000520C0000}"/>
    <cellStyle name="Normal 7 3 3" xfId="2426" xr:uid="{00000000-0005-0000-0000-0000530C0000}"/>
    <cellStyle name="Normal 7 4" xfId="1229" xr:uid="{00000000-0005-0000-0000-0000540C0000}"/>
    <cellStyle name="Normal 7 4 2" xfId="2825" xr:uid="{00000000-0005-0000-0000-0000550C0000}"/>
    <cellStyle name="Normal 7 5" xfId="2027" xr:uid="{00000000-0005-0000-0000-0000560C0000}"/>
    <cellStyle name="Normal 8" xfId="185" xr:uid="{00000000-0005-0000-0000-0000570C0000}"/>
    <cellStyle name="Normal 8 2" xfId="271" xr:uid="{00000000-0005-0000-0000-0000580C0000}"/>
    <cellStyle name="Normal 8 2 2" xfId="1031" xr:uid="{00000000-0005-0000-0000-0000590C0000}"/>
    <cellStyle name="Normal 8 2 2 2" xfId="1829" xr:uid="{00000000-0005-0000-0000-00005A0C0000}"/>
    <cellStyle name="Normal 8 2 2 2 2" xfId="3425" xr:uid="{00000000-0005-0000-0000-00005B0C0000}"/>
    <cellStyle name="Normal 8 2 2 3" xfId="2627" xr:uid="{00000000-0005-0000-0000-00005C0C0000}"/>
    <cellStyle name="Normal 8 2 3" xfId="1430" xr:uid="{00000000-0005-0000-0000-00005D0C0000}"/>
    <cellStyle name="Normal 8 2 3 2" xfId="3026" xr:uid="{00000000-0005-0000-0000-00005E0C0000}"/>
    <cellStyle name="Normal 8 2 4" xfId="2228" xr:uid="{00000000-0005-0000-0000-00005F0C0000}"/>
    <cellStyle name="Normal 8 2 5" xfId="633" xr:uid="{00000000-0005-0000-0000-0000600C0000}"/>
    <cellStyle name="Normal 8 3" xfId="270" xr:uid="{00000000-0005-0000-0000-0000610C0000}"/>
    <cellStyle name="Normal 8 3 2" xfId="1629" xr:uid="{00000000-0005-0000-0000-0000620C0000}"/>
    <cellStyle name="Normal 8 3 2 2" xfId="3225" xr:uid="{00000000-0005-0000-0000-0000630C0000}"/>
    <cellStyle name="Normal 8 3 3" xfId="2427" xr:uid="{00000000-0005-0000-0000-0000640C0000}"/>
    <cellStyle name="Normal 8 4" xfId="1230" xr:uid="{00000000-0005-0000-0000-0000650C0000}"/>
    <cellStyle name="Normal 8 4 2" xfId="2826" xr:uid="{00000000-0005-0000-0000-0000660C0000}"/>
    <cellStyle name="Normal 8 5" xfId="2028" xr:uid="{00000000-0005-0000-0000-0000670C0000}"/>
    <cellStyle name="Normal 9" xfId="177" xr:uid="{00000000-0005-0000-0000-0000680C0000}"/>
    <cellStyle name="Normal 9 2" xfId="272" xr:uid="{00000000-0005-0000-0000-0000690C0000}"/>
    <cellStyle name="Normal 9 2 2" xfId="634" xr:uid="{00000000-0005-0000-0000-00006A0C0000}"/>
    <cellStyle name="Normal 9 2 2 2" xfId="1032" xr:uid="{00000000-0005-0000-0000-00006B0C0000}"/>
    <cellStyle name="Normal 9 2 2 2 2" xfId="1830" xr:uid="{00000000-0005-0000-0000-00006C0C0000}"/>
    <cellStyle name="Normal 9 2 2 2 2 2" xfId="3426" xr:uid="{00000000-0005-0000-0000-00006D0C0000}"/>
    <cellStyle name="Normal 9 2 2 2 3" xfId="2628" xr:uid="{00000000-0005-0000-0000-00006E0C0000}"/>
    <cellStyle name="Normal 9 2 2 3" xfId="1431" xr:uid="{00000000-0005-0000-0000-00006F0C0000}"/>
    <cellStyle name="Normal 9 2 2 3 2" xfId="3027" xr:uid="{00000000-0005-0000-0000-0000700C0000}"/>
    <cellStyle name="Normal 9 2 2 4" xfId="2229" xr:uid="{00000000-0005-0000-0000-0000710C0000}"/>
    <cellStyle name="Normal 9 2 3" xfId="832" xr:uid="{00000000-0005-0000-0000-0000720C0000}"/>
    <cellStyle name="Normal 9 2 3 2" xfId="1630" xr:uid="{00000000-0005-0000-0000-0000730C0000}"/>
    <cellStyle name="Normal 9 2 3 2 2" xfId="3226" xr:uid="{00000000-0005-0000-0000-0000740C0000}"/>
    <cellStyle name="Normal 9 2 3 3" xfId="2428" xr:uid="{00000000-0005-0000-0000-0000750C0000}"/>
    <cellStyle name="Normal 9 2 4" xfId="1231" xr:uid="{00000000-0005-0000-0000-0000760C0000}"/>
    <cellStyle name="Normal 9 2 4 2" xfId="2827" xr:uid="{00000000-0005-0000-0000-0000770C0000}"/>
    <cellStyle name="Normal 9 2 5" xfId="2029" xr:uid="{00000000-0005-0000-0000-0000780C0000}"/>
    <cellStyle name="Normal 9 2 6" xfId="438" xr:uid="{00000000-0005-0000-0000-0000790C0000}"/>
    <cellStyle name="Normal 9 3" xfId="285" xr:uid="{00000000-0005-0000-0000-00007A0C0000}"/>
    <cellStyle name="Normal 9 4" xfId="283" xr:uid="{00000000-0005-0000-0000-00007B0C0000}"/>
    <cellStyle name="Normal 9 5" xfId="313" xr:uid="{00000000-0005-0000-0000-00007C0C0000}"/>
    <cellStyle name="Normal_Sewers" xfId="3" xr:uid="{00000000-0005-0000-0000-00007D0C0000}"/>
    <cellStyle name="Note 2" xfId="92" xr:uid="{00000000-0005-0000-0000-00007E0C0000}"/>
    <cellStyle name="Note 2 2" xfId="179" xr:uid="{00000000-0005-0000-0000-00007F0C0000}"/>
    <cellStyle name="Note 2 2 2" xfId="440" xr:uid="{00000000-0005-0000-0000-0000800C0000}"/>
    <cellStyle name="Note 2 2 2 2" xfId="441" xr:uid="{00000000-0005-0000-0000-0000810C0000}"/>
    <cellStyle name="Note 2 2 2 2 2" xfId="638" xr:uid="{00000000-0005-0000-0000-0000820C0000}"/>
    <cellStyle name="Note 2 2 2 2 2 2" xfId="1036" xr:uid="{00000000-0005-0000-0000-0000830C0000}"/>
    <cellStyle name="Note 2 2 2 2 2 2 2" xfId="1834" xr:uid="{00000000-0005-0000-0000-0000840C0000}"/>
    <cellStyle name="Note 2 2 2 2 2 2 2 2" xfId="3430" xr:uid="{00000000-0005-0000-0000-0000850C0000}"/>
    <cellStyle name="Note 2 2 2 2 2 2 3" xfId="2632" xr:uid="{00000000-0005-0000-0000-0000860C0000}"/>
    <cellStyle name="Note 2 2 2 2 2 3" xfId="1435" xr:uid="{00000000-0005-0000-0000-0000870C0000}"/>
    <cellStyle name="Note 2 2 2 2 2 3 2" xfId="3031" xr:uid="{00000000-0005-0000-0000-0000880C0000}"/>
    <cellStyle name="Note 2 2 2 2 2 4" xfId="2233" xr:uid="{00000000-0005-0000-0000-0000890C0000}"/>
    <cellStyle name="Note 2 2 2 2 3" xfId="836" xr:uid="{00000000-0005-0000-0000-00008A0C0000}"/>
    <cellStyle name="Note 2 2 2 2 3 2" xfId="1634" xr:uid="{00000000-0005-0000-0000-00008B0C0000}"/>
    <cellStyle name="Note 2 2 2 2 3 2 2" xfId="3230" xr:uid="{00000000-0005-0000-0000-00008C0C0000}"/>
    <cellStyle name="Note 2 2 2 2 3 3" xfId="2432" xr:uid="{00000000-0005-0000-0000-00008D0C0000}"/>
    <cellStyle name="Note 2 2 2 2 4" xfId="1235" xr:uid="{00000000-0005-0000-0000-00008E0C0000}"/>
    <cellStyle name="Note 2 2 2 2 4 2" xfId="2831" xr:uid="{00000000-0005-0000-0000-00008F0C0000}"/>
    <cellStyle name="Note 2 2 2 2 5" xfId="2033" xr:uid="{00000000-0005-0000-0000-0000900C0000}"/>
    <cellStyle name="Note 2 2 2 3" xfId="442" xr:uid="{00000000-0005-0000-0000-0000910C0000}"/>
    <cellStyle name="Note 2 2 2 3 2" xfId="639" xr:uid="{00000000-0005-0000-0000-0000920C0000}"/>
    <cellStyle name="Note 2 2 2 3 2 2" xfId="1037" xr:uid="{00000000-0005-0000-0000-0000930C0000}"/>
    <cellStyle name="Note 2 2 2 3 2 2 2" xfId="1835" xr:uid="{00000000-0005-0000-0000-0000940C0000}"/>
    <cellStyle name="Note 2 2 2 3 2 2 2 2" xfId="3431" xr:uid="{00000000-0005-0000-0000-0000950C0000}"/>
    <cellStyle name="Note 2 2 2 3 2 2 3" xfId="2633" xr:uid="{00000000-0005-0000-0000-0000960C0000}"/>
    <cellStyle name="Note 2 2 2 3 2 3" xfId="1436" xr:uid="{00000000-0005-0000-0000-0000970C0000}"/>
    <cellStyle name="Note 2 2 2 3 2 3 2" xfId="3032" xr:uid="{00000000-0005-0000-0000-0000980C0000}"/>
    <cellStyle name="Note 2 2 2 3 2 4" xfId="2234" xr:uid="{00000000-0005-0000-0000-0000990C0000}"/>
    <cellStyle name="Note 2 2 2 3 3" xfId="837" xr:uid="{00000000-0005-0000-0000-00009A0C0000}"/>
    <cellStyle name="Note 2 2 2 3 3 2" xfId="1635" xr:uid="{00000000-0005-0000-0000-00009B0C0000}"/>
    <cellStyle name="Note 2 2 2 3 3 2 2" xfId="3231" xr:uid="{00000000-0005-0000-0000-00009C0C0000}"/>
    <cellStyle name="Note 2 2 2 3 3 3" xfId="2433" xr:uid="{00000000-0005-0000-0000-00009D0C0000}"/>
    <cellStyle name="Note 2 2 2 3 4" xfId="1236" xr:uid="{00000000-0005-0000-0000-00009E0C0000}"/>
    <cellStyle name="Note 2 2 2 3 4 2" xfId="2832" xr:uid="{00000000-0005-0000-0000-00009F0C0000}"/>
    <cellStyle name="Note 2 2 2 3 5" xfId="2034" xr:uid="{00000000-0005-0000-0000-0000A00C0000}"/>
    <cellStyle name="Note 2 2 2 4" xfId="637" xr:uid="{00000000-0005-0000-0000-0000A10C0000}"/>
    <cellStyle name="Note 2 2 2 4 2" xfId="1035" xr:uid="{00000000-0005-0000-0000-0000A20C0000}"/>
    <cellStyle name="Note 2 2 2 4 2 2" xfId="1833" xr:uid="{00000000-0005-0000-0000-0000A30C0000}"/>
    <cellStyle name="Note 2 2 2 4 2 2 2" xfId="3429" xr:uid="{00000000-0005-0000-0000-0000A40C0000}"/>
    <cellStyle name="Note 2 2 2 4 2 3" xfId="2631" xr:uid="{00000000-0005-0000-0000-0000A50C0000}"/>
    <cellStyle name="Note 2 2 2 4 3" xfId="1434" xr:uid="{00000000-0005-0000-0000-0000A60C0000}"/>
    <cellStyle name="Note 2 2 2 4 3 2" xfId="3030" xr:uid="{00000000-0005-0000-0000-0000A70C0000}"/>
    <cellStyle name="Note 2 2 2 4 4" xfId="2232" xr:uid="{00000000-0005-0000-0000-0000A80C0000}"/>
    <cellStyle name="Note 2 2 2 5" xfId="835" xr:uid="{00000000-0005-0000-0000-0000A90C0000}"/>
    <cellStyle name="Note 2 2 2 5 2" xfId="1633" xr:uid="{00000000-0005-0000-0000-0000AA0C0000}"/>
    <cellStyle name="Note 2 2 2 5 2 2" xfId="3229" xr:uid="{00000000-0005-0000-0000-0000AB0C0000}"/>
    <cellStyle name="Note 2 2 2 5 3" xfId="2431" xr:uid="{00000000-0005-0000-0000-0000AC0C0000}"/>
    <cellStyle name="Note 2 2 2 6" xfId="1234" xr:uid="{00000000-0005-0000-0000-0000AD0C0000}"/>
    <cellStyle name="Note 2 2 2 6 2" xfId="2830" xr:uid="{00000000-0005-0000-0000-0000AE0C0000}"/>
    <cellStyle name="Note 2 2 2 7" xfId="2032" xr:uid="{00000000-0005-0000-0000-0000AF0C0000}"/>
    <cellStyle name="Note 2 2 3" xfId="443" xr:uid="{00000000-0005-0000-0000-0000B00C0000}"/>
    <cellStyle name="Note 2 2 3 2" xfId="640" xr:uid="{00000000-0005-0000-0000-0000B10C0000}"/>
    <cellStyle name="Note 2 2 3 2 2" xfId="1038" xr:uid="{00000000-0005-0000-0000-0000B20C0000}"/>
    <cellStyle name="Note 2 2 3 2 2 2" xfId="1836" xr:uid="{00000000-0005-0000-0000-0000B30C0000}"/>
    <cellStyle name="Note 2 2 3 2 2 2 2" xfId="3432" xr:uid="{00000000-0005-0000-0000-0000B40C0000}"/>
    <cellStyle name="Note 2 2 3 2 2 3" xfId="2634" xr:uid="{00000000-0005-0000-0000-0000B50C0000}"/>
    <cellStyle name="Note 2 2 3 2 3" xfId="1437" xr:uid="{00000000-0005-0000-0000-0000B60C0000}"/>
    <cellStyle name="Note 2 2 3 2 3 2" xfId="3033" xr:uid="{00000000-0005-0000-0000-0000B70C0000}"/>
    <cellStyle name="Note 2 2 3 2 4" xfId="2235" xr:uid="{00000000-0005-0000-0000-0000B80C0000}"/>
    <cellStyle name="Note 2 2 3 3" xfId="838" xr:uid="{00000000-0005-0000-0000-0000B90C0000}"/>
    <cellStyle name="Note 2 2 3 3 2" xfId="1636" xr:uid="{00000000-0005-0000-0000-0000BA0C0000}"/>
    <cellStyle name="Note 2 2 3 3 2 2" xfId="3232" xr:uid="{00000000-0005-0000-0000-0000BB0C0000}"/>
    <cellStyle name="Note 2 2 3 3 3" xfId="2434" xr:uid="{00000000-0005-0000-0000-0000BC0C0000}"/>
    <cellStyle name="Note 2 2 3 4" xfId="1237" xr:uid="{00000000-0005-0000-0000-0000BD0C0000}"/>
    <cellStyle name="Note 2 2 3 4 2" xfId="2833" xr:uid="{00000000-0005-0000-0000-0000BE0C0000}"/>
    <cellStyle name="Note 2 2 3 5" xfId="2035" xr:uid="{00000000-0005-0000-0000-0000BF0C0000}"/>
    <cellStyle name="Note 2 2 4" xfId="444" xr:uid="{00000000-0005-0000-0000-0000C00C0000}"/>
    <cellStyle name="Note 2 2 4 2" xfId="641" xr:uid="{00000000-0005-0000-0000-0000C10C0000}"/>
    <cellStyle name="Note 2 2 4 2 2" xfId="1039" xr:uid="{00000000-0005-0000-0000-0000C20C0000}"/>
    <cellStyle name="Note 2 2 4 2 2 2" xfId="1837" xr:uid="{00000000-0005-0000-0000-0000C30C0000}"/>
    <cellStyle name="Note 2 2 4 2 2 2 2" xfId="3433" xr:uid="{00000000-0005-0000-0000-0000C40C0000}"/>
    <cellStyle name="Note 2 2 4 2 2 3" xfId="2635" xr:uid="{00000000-0005-0000-0000-0000C50C0000}"/>
    <cellStyle name="Note 2 2 4 2 3" xfId="1438" xr:uid="{00000000-0005-0000-0000-0000C60C0000}"/>
    <cellStyle name="Note 2 2 4 2 3 2" xfId="3034" xr:uid="{00000000-0005-0000-0000-0000C70C0000}"/>
    <cellStyle name="Note 2 2 4 2 4" xfId="2236" xr:uid="{00000000-0005-0000-0000-0000C80C0000}"/>
    <cellStyle name="Note 2 2 4 3" xfId="839" xr:uid="{00000000-0005-0000-0000-0000C90C0000}"/>
    <cellStyle name="Note 2 2 4 3 2" xfId="1637" xr:uid="{00000000-0005-0000-0000-0000CA0C0000}"/>
    <cellStyle name="Note 2 2 4 3 2 2" xfId="3233" xr:uid="{00000000-0005-0000-0000-0000CB0C0000}"/>
    <cellStyle name="Note 2 2 4 3 3" xfId="2435" xr:uid="{00000000-0005-0000-0000-0000CC0C0000}"/>
    <cellStyle name="Note 2 2 4 4" xfId="1238" xr:uid="{00000000-0005-0000-0000-0000CD0C0000}"/>
    <cellStyle name="Note 2 2 4 4 2" xfId="2834" xr:uid="{00000000-0005-0000-0000-0000CE0C0000}"/>
    <cellStyle name="Note 2 2 4 5" xfId="2036" xr:uid="{00000000-0005-0000-0000-0000CF0C0000}"/>
    <cellStyle name="Note 2 2 5" xfId="636" xr:uid="{00000000-0005-0000-0000-0000D00C0000}"/>
    <cellStyle name="Note 2 2 5 2" xfId="1034" xr:uid="{00000000-0005-0000-0000-0000D10C0000}"/>
    <cellStyle name="Note 2 2 5 2 2" xfId="1832" xr:uid="{00000000-0005-0000-0000-0000D20C0000}"/>
    <cellStyle name="Note 2 2 5 2 2 2" xfId="3428" xr:uid="{00000000-0005-0000-0000-0000D30C0000}"/>
    <cellStyle name="Note 2 2 5 2 3" xfId="2630" xr:uid="{00000000-0005-0000-0000-0000D40C0000}"/>
    <cellStyle name="Note 2 2 5 3" xfId="1433" xr:uid="{00000000-0005-0000-0000-0000D50C0000}"/>
    <cellStyle name="Note 2 2 5 3 2" xfId="3029" xr:uid="{00000000-0005-0000-0000-0000D60C0000}"/>
    <cellStyle name="Note 2 2 5 4" xfId="2231" xr:uid="{00000000-0005-0000-0000-0000D70C0000}"/>
    <cellStyle name="Note 2 2 6" xfId="834" xr:uid="{00000000-0005-0000-0000-0000D80C0000}"/>
    <cellStyle name="Note 2 2 6 2" xfId="1632" xr:uid="{00000000-0005-0000-0000-0000D90C0000}"/>
    <cellStyle name="Note 2 2 6 2 2" xfId="3228" xr:uid="{00000000-0005-0000-0000-0000DA0C0000}"/>
    <cellStyle name="Note 2 2 6 3" xfId="2430" xr:uid="{00000000-0005-0000-0000-0000DB0C0000}"/>
    <cellStyle name="Note 2 2 7" xfId="1233" xr:uid="{00000000-0005-0000-0000-0000DC0C0000}"/>
    <cellStyle name="Note 2 2 7 2" xfId="2829" xr:uid="{00000000-0005-0000-0000-0000DD0C0000}"/>
    <cellStyle name="Note 2 2 8" xfId="2031" xr:uid="{00000000-0005-0000-0000-0000DE0C0000}"/>
    <cellStyle name="Note 2 2 9" xfId="439" xr:uid="{00000000-0005-0000-0000-0000DF0C0000}"/>
    <cellStyle name="Note 2 3" xfId="273" xr:uid="{00000000-0005-0000-0000-0000E00C0000}"/>
    <cellStyle name="Note 2 3 2" xfId="446" xr:uid="{00000000-0005-0000-0000-0000E10C0000}"/>
    <cellStyle name="Note 2 3 2 2" xfId="643" xr:uid="{00000000-0005-0000-0000-0000E20C0000}"/>
    <cellStyle name="Note 2 3 2 2 2" xfId="1041" xr:uid="{00000000-0005-0000-0000-0000E30C0000}"/>
    <cellStyle name="Note 2 3 2 2 2 2" xfId="1839" xr:uid="{00000000-0005-0000-0000-0000E40C0000}"/>
    <cellStyle name="Note 2 3 2 2 2 2 2" xfId="3435" xr:uid="{00000000-0005-0000-0000-0000E50C0000}"/>
    <cellStyle name="Note 2 3 2 2 2 3" xfId="2637" xr:uid="{00000000-0005-0000-0000-0000E60C0000}"/>
    <cellStyle name="Note 2 3 2 2 3" xfId="1440" xr:uid="{00000000-0005-0000-0000-0000E70C0000}"/>
    <cellStyle name="Note 2 3 2 2 3 2" xfId="3036" xr:uid="{00000000-0005-0000-0000-0000E80C0000}"/>
    <cellStyle name="Note 2 3 2 2 4" xfId="2238" xr:uid="{00000000-0005-0000-0000-0000E90C0000}"/>
    <cellStyle name="Note 2 3 2 3" xfId="841" xr:uid="{00000000-0005-0000-0000-0000EA0C0000}"/>
    <cellStyle name="Note 2 3 2 3 2" xfId="1639" xr:uid="{00000000-0005-0000-0000-0000EB0C0000}"/>
    <cellStyle name="Note 2 3 2 3 2 2" xfId="3235" xr:uid="{00000000-0005-0000-0000-0000EC0C0000}"/>
    <cellStyle name="Note 2 3 2 3 3" xfId="2437" xr:uid="{00000000-0005-0000-0000-0000ED0C0000}"/>
    <cellStyle name="Note 2 3 2 4" xfId="1240" xr:uid="{00000000-0005-0000-0000-0000EE0C0000}"/>
    <cellStyle name="Note 2 3 2 4 2" xfId="2836" xr:uid="{00000000-0005-0000-0000-0000EF0C0000}"/>
    <cellStyle name="Note 2 3 2 5" xfId="2038" xr:uid="{00000000-0005-0000-0000-0000F00C0000}"/>
    <cellStyle name="Note 2 3 3" xfId="447" xr:uid="{00000000-0005-0000-0000-0000F10C0000}"/>
    <cellStyle name="Note 2 3 3 2" xfId="644" xr:uid="{00000000-0005-0000-0000-0000F20C0000}"/>
    <cellStyle name="Note 2 3 3 2 2" xfId="1042" xr:uid="{00000000-0005-0000-0000-0000F30C0000}"/>
    <cellStyle name="Note 2 3 3 2 2 2" xfId="1840" xr:uid="{00000000-0005-0000-0000-0000F40C0000}"/>
    <cellStyle name="Note 2 3 3 2 2 2 2" xfId="3436" xr:uid="{00000000-0005-0000-0000-0000F50C0000}"/>
    <cellStyle name="Note 2 3 3 2 2 3" xfId="2638" xr:uid="{00000000-0005-0000-0000-0000F60C0000}"/>
    <cellStyle name="Note 2 3 3 2 3" xfId="1441" xr:uid="{00000000-0005-0000-0000-0000F70C0000}"/>
    <cellStyle name="Note 2 3 3 2 3 2" xfId="3037" xr:uid="{00000000-0005-0000-0000-0000F80C0000}"/>
    <cellStyle name="Note 2 3 3 2 4" xfId="2239" xr:uid="{00000000-0005-0000-0000-0000F90C0000}"/>
    <cellStyle name="Note 2 3 3 3" xfId="842" xr:uid="{00000000-0005-0000-0000-0000FA0C0000}"/>
    <cellStyle name="Note 2 3 3 3 2" xfId="1640" xr:uid="{00000000-0005-0000-0000-0000FB0C0000}"/>
    <cellStyle name="Note 2 3 3 3 2 2" xfId="3236" xr:uid="{00000000-0005-0000-0000-0000FC0C0000}"/>
    <cellStyle name="Note 2 3 3 3 3" xfId="2438" xr:uid="{00000000-0005-0000-0000-0000FD0C0000}"/>
    <cellStyle name="Note 2 3 3 4" xfId="1241" xr:uid="{00000000-0005-0000-0000-0000FE0C0000}"/>
    <cellStyle name="Note 2 3 3 4 2" xfId="2837" xr:uid="{00000000-0005-0000-0000-0000FF0C0000}"/>
    <cellStyle name="Note 2 3 3 5" xfId="2039" xr:uid="{00000000-0005-0000-0000-0000000D0000}"/>
    <cellStyle name="Note 2 3 4" xfId="642" xr:uid="{00000000-0005-0000-0000-0000010D0000}"/>
    <cellStyle name="Note 2 3 4 2" xfId="1040" xr:uid="{00000000-0005-0000-0000-0000020D0000}"/>
    <cellStyle name="Note 2 3 4 2 2" xfId="1838" xr:uid="{00000000-0005-0000-0000-0000030D0000}"/>
    <cellStyle name="Note 2 3 4 2 2 2" xfId="3434" xr:uid="{00000000-0005-0000-0000-0000040D0000}"/>
    <cellStyle name="Note 2 3 4 2 3" xfId="2636" xr:uid="{00000000-0005-0000-0000-0000050D0000}"/>
    <cellStyle name="Note 2 3 4 3" xfId="1439" xr:uid="{00000000-0005-0000-0000-0000060D0000}"/>
    <cellStyle name="Note 2 3 4 3 2" xfId="3035" xr:uid="{00000000-0005-0000-0000-0000070D0000}"/>
    <cellStyle name="Note 2 3 4 4" xfId="2237" xr:uid="{00000000-0005-0000-0000-0000080D0000}"/>
    <cellStyle name="Note 2 3 5" xfId="840" xr:uid="{00000000-0005-0000-0000-0000090D0000}"/>
    <cellStyle name="Note 2 3 5 2" xfId="1638" xr:uid="{00000000-0005-0000-0000-00000A0D0000}"/>
    <cellStyle name="Note 2 3 5 2 2" xfId="3234" xr:uid="{00000000-0005-0000-0000-00000B0D0000}"/>
    <cellStyle name="Note 2 3 5 3" xfId="2436" xr:uid="{00000000-0005-0000-0000-00000C0D0000}"/>
    <cellStyle name="Note 2 3 6" xfId="1239" xr:uid="{00000000-0005-0000-0000-00000D0D0000}"/>
    <cellStyle name="Note 2 3 6 2" xfId="2835" xr:uid="{00000000-0005-0000-0000-00000E0D0000}"/>
    <cellStyle name="Note 2 3 7" xfId="2037" xr:uid="{00000000-0005-0000-0000-00000F0D0000}"/>
    <cellStyle name="Note 2 3 8" xfId="445" xr:uid="{00000000-0005-0000-0000-0000100D0000}"/>
    <cellStyle name="Note 2 4" xfId="119" xr:uid="{00000000-0005-0000-0000-0000110D0000}"/>
    <cellStyle name="Note 2 4 2" xfId="645" xr:uid="{00000000-0005-0000-0000-0000120D0000}"/>
    <cellStyle name="Note 2 4 2 2" xfId="1043" xr:uid="{00000000-0005-0000-0000-0000130D0000}"/>
    <cellStyle name="Note 2 4 2 2 2" xfId="1841" xr:uid="{00000000-0005-0000-0000-0000140D0000}"/>
    <cellStyle name="Note 2 4 2 2 2 2" xfId="3437" xr:uid="{00000000-0005-0000-0000-0000150D0000}"/>
    <cellStyle name="Note 2 4 2 2 3" xfId="2639" xr:uid="{00000000-0005-0000-0000-0000160D0000}"/>
    <cellStyle name="Note 2 4 2 3" xfId="1442" xr:uid="{00000000-0005-0000-0000-0000170D0000}"/>
    <cellStyle name="Note 2 4 2 3 2" xfId="3038" xr:uid="{00000000-0005-0000-0000-0000180D0000}"/>
    <cellStyle name="Note 2 4 2 4" xfId="2240" xr:uid="{00000000-0005-0000-0000-0000190D0000}"/>
    <cellStyle name="Note 2 4 3" xfId="843" xr:uid="{00000000-0005-0000-0000-00001A0D0000}"/>
    <cellStyle name="Note 2 4 3 2" xfId="1641" xr:uid="{00000000-0005-0000-0000-00001B0D0000}"/>
    <cellStyle name="Note 2 4 3 2 2" xfId="3237" xr:uid="{00000000-0005-0000-0000-00001C0D0000}"/>
    <cellStyle name="Note 2 4 3 3" xfId="2439" xr:uid="{00000000-0005-0000-0000-00001D0D0000}"/>
    <cellStyle name="Note 2 4 4" xfId="1242" xr:uid="{00000000-0005-0000-0000-00001E0D0000}"/>
    <cellStyle name="Note 2 4 4 2" xfId="2838" xr:uid="{00000000-0005-0000-0000-00001F0D0000}"/>
    <cellStyle name="Note 2 4 5" xfId="2040" xr:uid="{00000000-0005-0000-0000-0000200D0000}"/>
    <cellStyle name="Note 2 5" xfId="448" xr:uid="{00000000-0005-0000-0000-0000210D0000}"/>
    <cellStyle name="Note 2 5 2" xfId="646" xr:uid="{00000000-0005-0000-0000-0000220D0000}"/>
    <cellStyle name="Note 2 5 2 2" xfId="1044" xr:uid="{00000000-0005-0000-0000-0000230D0000}"/>
    <cellStyle name="Note 2 5 2 2 2" xfId="1842" xr:uid="{00000000-0005-0000-0000-0000240D0000}"/>
    <cellStyle name="Note 2 5 2 2 2 2" xfId="3438" xr:uid="{00000000-0005-0000-0000-0000250D0000}"/>
    <cellStyle name="Note 2 5 2 2 3" xfId="2640" xr:uid="{00000000-0005-0000-0000-0000260D0000}"/>
    <cellStyle name="Note 2 5 2 3" xfId="1443" xr:uid="{00000000-0005-0000-0000-0000270D0000}"/>
    <cellStyle name="Note 2 5 2 3 2" xfId="3039" xr:uid="{00000000-0005-0000-0000-0000280D0000}"/>
    <cellStyle name="Note 2 5 2 4" xfId="2241" xr:uid="{00000000-0005-0000-0000-0000290D0000}"/>
    <cellStyle name="Note 2 5 3" xfId="844" xr:uid="{00000000-0005-0000-0000-00002A0D0000}"/>
    <cellStyle name="Note 2 5 3 2" xfId="1642" xr:uid="{00000000-0005-0000-0000-00002B0D0000}"/>
    <cellStyle name="Note 2 5 3 2 2" xfId="3238" xr:uid="{00000000-0005-0000-0000-00002C0D0000}"/>
    <cellStyle name="Note 2 5 3 3" xfId="2440" xr:uid="{00000000-0005-0000-0000-00002D0D0000}"/>
    <cellStyle name="Note 2 5 4" xfId="1243" xr:uid="{00000000-0005-0000-0000-00002E0D0000}"/>
    <cellStyle name="Note 2 5 4 2" xfId="2839" xr:uid="{00000000-0005-0000-0000-00002F0D0000}"/>
    <cellStyle name="Note 2 5 5" xfId="2041" xr:uid="{00000000-0005-0000-0000-0000300D0000}"/>
    <cellStyle name="Note 2 6" xfId="635" xr:uid="{00000000-0005-0000-0000-0000310D0000}"/>
    <cellStyle name="Note 2 6 2" xfId="1033" xr:uid="{00000000-0005-0000-0000-0000320D0000}"/>
    <cellStyle name="Note 2 6 2 2" xfId="1831" xr:uid="{00000000-0005-0000-0000-0000330D0000}"/>
    <cellStyle name="Note 2 6 2 2 2" xfId="3427" xr:uid="{00000000-0005-0000-0000-0000340D0000}"/>
    <cellStyle name="Note 2 6 2 3" xfId="2629" xr:uid="{00000000-0005-0000-0000-0000350D0000}"/>
    <cellStyle name="Note 2 6 3" xfId="1432" xr:uid="{00000000-0005-0000-0000-0000360D0000}"/>
    <cellStyle name="Note 2 6 3 2" xfId="3028" xr:uid="{00000000-0005-0000-0000-0000370D0000}"/>
    <cellStyle name="Note 2 6 4" xfId="2230" xr:uid="{00000000-0005-0000-0000-0000380D0000}"/>
    <cellStyle name="Note 2 7" xfId="833" xr:uid="{00000000-0005-0000-0000-0000390D0000}"/>
    <cellStyle name="Note 2 7 2" xfId="1631" xr:uid="{00000000-0005-0000-0000-00003A0D0000}"/>
    <cellStyle name="Note 2 7 2 2" xfId="3227" xr:uid="{00000000-0005-0000-0000-00003B0D0000}"/>
    <cellStyle name="Note 2 7 3" xfId="2429" xr:uid="{00000000-0005-0000-0000-00003C0D0000}"/>
    <cellStyle name="Note 2 8" xfId="1232" xr:uid="{00000000-0005-0000-0000-00003D0D0000}"/>
    <cellStyle name="Note 2 8 2" xfId="2828" xr:uid="{00000000-0005-0000-0000-00003E0D0000}"/>
    <cellStyle name="Note 2 9" xfId="2030" xr:uid="{00000000-0005-0000-0000-00003F0D0000}"/>
    <cellStyle name="Note 3" xfId="134" xr:uid="{00000000-0005-0000-0000-0000400D0000}"/>
    <cellStyle name="Note 3 2" xfId="647" xr:uid="{00000000-0005-0000-0000-0000410D0000}"/>
    <cellStyle name="Note 3 2 2" xfId="1045" xr:uid="{00000000-0005-0000-0000-0000420D0000}"/>
    <cellStyle name="Note 3 2 2 2" xfId="1843" xr:uid="{00000000-0005-0000-0000-0000430D0000}"/>
    <cellStyle name="Note 3 2 2 2 2" xfId="3439" xr:uid="{00000000-0005-0000-0000-0000440D0000}"/>
    <cellStyle name="Note 3 2 2 3" xfId="2641" xr:uid="{00000000-0005-0000-0000-0000450D0000}"/>
    <cellStyle name="Note 3 2 3" xfId="1444" xr:uid="{00000000-0005-0000-0000-0000460D0000}"/>
    <cellStyle name="Note 3 2 3 2" xfId="3040" xr:uid="{00000000-0005-0000-0000-0000470D0000}"/>
    <cellStyle name="Note 3 2 4" xfId="2242" xr:uid="{00000000-0005-0000-0000-0000480D0000}"/>
    <cellStyle name="Note 3 3" xfId="845" xr:uid="{00000000-0005-0000-0000-0000490D0000}"/>
    <cellStyle name="Note 3 3 2" xfId="1643" xr:uid="{00000000-0005-0000-0000-00004A0D0000}"/>
    <cellStyle name="Note 3 3 2 2" xfId="3239" xr:uid="{00000000-0005-0000-0000-00004B0D0000}"/>
    <cellStyle name="Note 3 3 3" xfId="2441" xr:uid="{00000000-0005-0000-0000-00004C0D0000}"/>
    <cellStyle name="Note 3 4" xfId="1244" xr:uid="{00000000-0005-0000-0000-00004D0D0000}"/>
    <cellStyle name="Note 3 4 2" xfId="2840" xr:uid="{00000000-0005-0000-0000-00004E0D0000}"/>
    <cellStyle name="Note 3 5" xfId="2042" xr:uid="{00000000-0005-0000-0000-00004F0D0000}"/>
    <cellStyle name="Note 4" xfId="148" xr:uid="{00000000-0005-0000-0000-0000500D0000}"/>
    <cellStyle name="Note 4 2" xfId="648" xr:uid="{00000000-0005-0000-0000-0000510D0000}"/>
    <cellStyle name="Note 4 2 2" xfId="1046" xr:uid="{00000000-0005-0000-0000-0000520D0000}"/>
    <cellStyle name="Note 4 2 2 2" xfId="1844" xr:uid="{00000000-0005-0000-0000-0000530D0000}"/>
    <cellStyle name="Note 4 2 2 2 2" xfId="3440" xr:uid="{00000000-0005-0000-0000-0000540D0000}"/>
    <cellStyle name="Note 4 2 2 3" xfId="2642" xr:uid="{00000000-0005-0000-0000-0000550D0000}"/>
    <cellStyle name="Note 4 2 3" xfId="1445" xr:uid="{00000000-0005-0000-0000-0000560D0000}"/>
    <cellStyle name="Note 4 2 3 2" xfId="3041" xr:uid="{00000000-0005-0000-0000-0000570D0000}"/>
    <cellStyle name="Note 4 2 4" xfId="2243" xr:uid="{00000000-0005-0000-0000-0000580D0000}"/>
    <cellStyle name="Note 4 3" xfId="846" xr:uid="{00000000-0005-0000-0000-0000590D0000}"/>
    <cellStyle name="Note 4 3 2" xfId="1644" xr:uid="{00000000-0005-0000-0000-00005A0D0000}"/>
    <cellStyle name="Note 4 3 2 2" xfId="3240" xr:uid="{00000000-0005-0000-0000-00005B0D0000}"/>
    <cellStyle name="Note 4 3 3" xfId="2442" xr:uid="{00000000-0005-0000-0000-00005C0D0000}"/>
    <cellStyle name="Note 4 4" xfId="1245" xr:uid="{00000000-0005-0000-0000-00005D0D0000}"/>
    <cellStyle name="Note 4 4 2" xfId="2841" xr:uid="{00000000-0005-0000-0000-00005E0D0000}"/>
    <cellStyle name="Note 4 5" xfId="2043" xr:uid="{00000000-0005-0000-0000-00005F0D0000}"/>
    <cellStyle name="Note 5" xfId="102" xr:uid="{00000000-0005-0000-0000-0000600D0000}"/>
    <cellStyle name="Note 6" xfId="308" xr:uid="{00000000-0005-0000-0000-0000610D0000}"/>
    <cellStyle name="Output" xfId="18" builtinId="21" customBuiltin="1"/>
    <cellStyle name="Output 2" xfId="93" xr:uid="{00000000-0005-0000-0000-0000630D0000}"/>
    <cellStyle name="Output 2 2" xfId="274" xr:uid="{00000000-0005-0000-0000-0000640D0000}"/>
    <cellStyle name="Output 2 3" xfId="188" xr:uid="{00000000-0005-0000-0000-0000650D0000}"/>
    <cellStyle name="Output 3" xfId="309" xr:uid="{00000000-0005-0000-0000-0000660D0000}"/>
    <cellStyle name="Percent" xfId="2" builtinId="5"/>
    <cellStyle name="Percent 2" xfId="95" xr:uid="{00000000-0005-0000-0000-0000680D0000}"/>
    <cellStyle name="Percent 3" xfId="96" xr:uid="{00000000-0005-0000-0000-0000690D0000}"/>
    <cellStyle name="Percent 3 2" xfId="275" xr:uid="{00000000-0005-0000-0000-00006A0D0000}"/>
    <cellStyle name="Percent 4" xfId="276" xr:uid="{00000000-0005-0000-0000-00006B0D0000}"/>
    <cellStyle name="Percent 5" xfId="101" xr:uid="{00000000-0005-0000-0000-00006C0D0000}"/>
    <cellStyle name="Percent 6" xfId="94" xr:uid="{00000000-0005-0000-0000-00006D0D0000}"/>
    <cellStyle name="Style1" xfId="111" xr:uid="{00000000-0005-0000-0000-00006E0D0000}"/>
    <cellStyle name="Style2" xfId="164" xr:uid="{00000000-0005-0000-0000-00006F0D0000}"/>
    <cellStyle name="Style3" xfId="196" xr:uid="{00000000-0005-0000-0000-0000700D0000}"/>
    <cellStyle name="Style3 2" xfId="181" xr:uid="{00000000-0005-0000-0000-0000710D0000}"/>
    <cellStyle name="Style4" xfId="161" xr:uid="{00000000-0005-0000-0000-0000720D0000}"/>
    <cellStyle name="Style5" xfId="171" xr:uid="{00000000-0005-0000-0000-0000730D0000}"/>
    <cellStyle name="Title" xfId="9" builtinId="15" customBuiltin="1"/>
    <cellStyle name="Title 2" xfId="97" xr:uid="{00000000-0005-0000-0000-0000750D0000}"/>
    <cellStyle name="Title 2 2" xfId="277" xr:uid="{00000000-0005-0000-0000-0000760D0000}"/>
    <cellStyle name="Total" xfId="24" builtinId="25" customBuiltin="1"/>
    <cellStyle name="Total 2" xfId="98" xr:uid="{00000000-0005-0000-0000-0000780D0000}"/>
    <cellStyle name="Total 2 2" xfId="278" xr:uid="{00000000-0005-0000-0000-0000790D0000}"/>
    <cellStyle name="Total 2 3" xfId="163" xr:uid="{00000000-0005-0000-0000-00007A0D0000}"/>
    <cellStyle name="Total 3" xfId="310" xr:uid="{00000000-0005-0000-0000-00007B0D0000}"/>
    <cellStyle name="Warning Text" xfId="22" builtinId="11" customBuiltin="1"/>
    <cellStyle name="Warning Text 2" xfId="99" xr:uid="{00000000-0005-0000-0000-00007D0D0000}"/>
    <cellStyle name="Warning Text 2 2" xfId="279" xr:uid="{00000000-0005-0000-0000-00007E0D0000}"/>
    <cellStyle name="Warning Text 2 3" xfId="197" xr:uid="{00000000-0005-0000-0000-00007F0D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89"/>
  <sheetViews>
    <sheetView tabSelected="1" zoomScale="115" zoomScaleNormal="115" zoomScaleSheetLayoutView="100" workbookViewId="0">
      <pane ySplit="4" topLeftCell="A65" activePane="bottomLeft" state="frozen"/>
      <selection pane="bottomLeft" activeCell="E83" sqref="E83"/>
    </sheetView>
  </sheetViews>
  <sheetFormatPr defaultColWidth="9.140625" defaultRowHeight="12.75"/>
  <cols>
    <col min="1" max="1" width="39.5703125" style="19" customWidth="1"/>
    <col min="2" max="2" width="19.28515625" style="19" customWidth="1"/>
    <col min="3" max="3" width="17.85546875" style="20" customWidth="1"/>
    <col min="4" max="4" width="9.140625" style="7" customWidth="1"/>
    <col min="5" max="5" width="92.85546875" style="7" customWidth="1"/>
    <col min="6" max="16384" width="9.140625" style="7"/>
  </cols>
  <sheetData>
    <row r="1" spans="1:5" ht="18">
      <c r="A1" s="102" t="s">
        <v>66</v>
      </c>
      <c r="B1" s="102"/>
      <c r="C1" s="103"/>
    </row>
    <row r="2" spans="1:5">
      <c r="A2" s="104" t="s">
        <v>284</v>
      </c>
      <c r="B2" s="104"/>
      <c r="C2" s="103"/>
    </row>
    <row r="3" spans="1:5">
      <c r="A3" s="104" t="s">
        <v>67</v>
      </c>
      <c r="B3" s="104"/>
      <c r="C3" s="111"/>
    </row>
    <row r="4" spans="1:5" ht="28.5" customHeight="1">
      <c r="A4" s="105"/>
      <c r="B4" s="112" t="s">
        <v>508</v>
      </c>
      <c r="C4" s="122" t="s">
        <v>509</v>
      </c>
      <c r="D4" s="135"/>
      <c r="E4" s="134"/>
    </row>
    <row r="5" spans="1:5" ht="15" customHeight="1">
      <c r="A5" s="106" t="s">
        <v>68</v>
      </c>
      <c r="B5" s="106"/>
      <c r="C5" s="123"/>
      <c r="D5" s="113"/>
      <c r="E5" s="113"/>
    </row>
    <row r="6" spans="1:5" ht="15">
      <c r="A6" s="107" t="s">
        <v>69</v>
      </c>
      <c r="B6" s="108">
        <v>7246</v>
      </c>
      <c r="C6" s="108">
        <f>'Cust water'!F20</f>
        <v>7486</v>
      </c>
      <c r="D6" s="136"/>
      <c r="E6" s="19"/>
    </row>
    <row r="7" spans="1:5" ht="15">
      <c r="A7" s="107" t="s">
        <v>70</v>
      </c>
      <c r="B7" s="108">
        <v>1498</v>
      </c>
      <c r="C7" s="108">
        <f>'Fernside water'!F19</f>
        <v>1511</v>
      </c>
      <c r="D7" s="136"/>
      <c r="E7" s="19"/>
    </row>
    <row r="8" spans="1:5" ht="15">
      <c r="A8" s="107" t="s">
        <v>71</v>
      </c>
      <c r="B8" s="108">
        <v>8814</v>
      </c>
      <c r="C8" s="108">
        <f>'Garrymere water'!F17</f>
        <v>8814</v>
      </c>
      <c r="D8" s="136"/>
      <c r="E8" s="19"/>
    </row>
    <row r="9" spans="1:5" ht="15">
      <c r="A9" s="107" t="s">
        <v>72</v>
      </c>
      <c r="B9" s="108">
        <v>1740</v>
      </c>
      <c r="C9" s="108">
        <f>'Kaiapoi water'!F22</f>
        <v>2017</v>
      </c>
      <c r="D9" s="136"/>
      <c r="E9" s="19"/>
    </row>
    <row r="10" spans="1:5" ht="15">
      <c r="A10" s="107" t="s">
        <v>168</v>
      </c>
      <c r="B10" s="108">
        <v>707</v>
      </c>
      <c r="C10" s="108">
        <f>'North East Kaiapoi water'!F14</f>
        <v>733</v>
      </c>
      <c r="D10" s="136"/>
      <c r="E10" s="19"/>
    </row>
    <row r="11" spans="1:5" ht="15">
      <c r="A11" s="107" t="s">
        <v>424</v>
      </c>
      <c r="B11" s="108">
        <v>102</v>
      </c>
      <c r="C11" s="108">
        <f>'ENE Kaiapoi water'!F17</f>
        <v>102</v>
      </c>
      <c r="D11" s="136"/>
      <c r="E11" s="19"/>
    </row>
    <row r="12" spans="1:5" ht="15">
      <c r="A12" s="107" t="s">
        <v>169</v>
      </c>
      <c r="B12" s="108">
        <v>3657</v>
      </c>
      <c r="C12" s="108">
        <f>'West Kaiapoi water'!F18</f>
        <v>3738</v>
      </c>
      <c r="D12" s="136"/>
      <c r="E12" s="19"/>
    </row>
    <row r="13" spans="1:5" ht="15">
      <c r="A13" s="107" t="s">
        <v>73</v>
      </c>
      <c r="B13" s="108">
        <v>1435</v>
      </c>
      <c r="C13" s="108">
        <f>'Mandeville water'!F26</f>
        <v>1710</v>
      </c>
      <c r="D13" s="136"/>
      <c r="E13" s="19"/>
    </row>
    <row r="14" spans="1:5" ht="15">
      <c r="A14" s="107" t="s">
        <v>74</v>
      </c>
      <c r="B14" s="108">
        <v>8388</v>
      </c>
      <c r="C14" s="138">
        <f>'Ohoka water'!F17</f>
        <v>9143</v>
      </c>
      <c r="D14" s="136"/>
      <c r="E14" s="19"/>
    </row>
    <row r="15" spans="1:5" ht="15">
      <c r="A15" s="107" t="s">
        <v>75</v>
      </c>
      <c r="B15" s="108">
        <v>8863</v>
      </c>
      <c r="C15" s="108">
        <f>'Oxford water'!F28</f>
        <v>10487</v>
      </c>
      <c r="D15" s="136"/>
      <c r="E15" s="19"/>
    </row>
    <row r="16" spans="1:5" ht="15">
      <c r="A16" s="107" t="s">
        <v>76</v>
      </c>
      <c r="B16" s="108">
        <v>8130</v>
      </c>
      <c r="C16" s="108">
        <f>'Oxford 1 water'!F29</f>
        <v>8277</v>
      </c>
      <c r="D16" s="136"/>
      <c r="E16" s="19"/>
    </row>
    <row r="17" spans="1:5" ht="15">
      <c r="A17" s="107" t="s">
        <v>77</v>
      </c>
      <c r="B17" s="108">
        <v>7831</v>
      </c>
      <c r="C17" s="108">
        <f>'Oxford 2 water'!F29</f>
        <v>8168</v>
      </c>
      <c r="D17" s="136"/>
      <c r="E17" s="19"/>
    </row>
    <row r="18" spans="1:5" ht="15">
      <c r="A18" s="107" t="s">
        <v>78</v>
      </c>
      <c r="B18" s="108">
        <v>2557</v>
      </c>
      <c r="C18" s="108">
        <f>'Poyntzs Rd water'!F17</f>
        <v>2715</v>
      </c>
      <c r="D18" s="136"/>
      <c r="E18" s="19"/>
    </row>
    <row r="19" spans="1:5" ht="15">
      <c r="A19" s="109" t="s">
        <v>79</v>
      </c>
      <c r="B19" s="108">
        <v>6650</v>
      </c>
      <c r="C19" s="108">
        <f>'Rangiora water'!F46</f>
        <v>7316</v>
      </c>
      <c r="D19" s="136"/>
      <c r="E19" s="19"/>
    </row>
    <row r="20" spans="1:5" ht="15">
      <c r="A20" s="109" t="s">
        <v>170</v>
      </c>
      <c r="B20" s="108">
        <v>143</v>
      </c>
      <c r="C20" s="108">
        <f>'East Rangiora water'!F11</f>
        <v>148</v>
      </c>
      <c r="D20" s="136"/>
      <c r="E20" s="19"/>
    </row>
    <row r="21" spans="1:5" ht="15">
      <c r="A21" s="109" t="s">
        <v>171</v>
      </c>
      <c r="B21" s="108">
        <v>0</v>
      </c>
      <c r="C21" s="108">
        <f>'East Rangiora water'!F21</f>
        <v>148</v>
      </c>
      <c r="D21" s="136"/>
      <c r="E21" s="19"/>
    </row>
    <row r="22" spans="1:5" ht="30">
      <c r="A22" s="109" t="s">
        <v>81</v>
      </c>
      <c r="B22" s="108">
        <v>5658</v>
      </c>
      <c r="C22" s="108">
        <f>'North Rangiora water'!F15</f>
        <v>5767</v>
      </c>
      <c r="D22" s="136"/>
      <c r="E22" s="19"/>
    </row>
    <row r="23" spans="1:5" ht="15">
      <c r="A23" s="107" t="s">
        <v>153</v>
      </c>
      <c r="B23" s="108">
        <v>1780</v>
      </c>
      <c r="C23" s="108">
        <f>'West Rangiora water'!F23</f>
        <v>1793</v>
      </c>
      <c r="D23" s="136"/>
      <c r="E23" s="19"/>
    </row>
    <row r="24" spans="1:5" ht="15">
      <c r="A24" s="107" t="s">
        <v>406</v>
      </c>
      <c r="B24" s="108">
        <v>1213</v>
      </c>
      <c r="C24" s="108">
        <f>'Outer East Rangiora water'!F22</f>
        <v>1007</v>
      </c>
      <c r="D24" s="136"/>
      <c r="E24" s="19"/>
    </row>
    <row r="25" spans="1:5" ht="15">
      <c r="A25" s="107" t="s">
        <v>82</v>
      </c>
      <c r="B25" s="110">
        <v>0.87</v>
      </c>
      <c r="C25" s="110">
        <f>'Southbrook water'!F19</f>
        <v>0.87</v>
      </c>
      <c r="D25" s="136"/>
      <c r="E25" s="19"/>
    </row>
    <row r="26" spans="1:5" ht="15">
      <c r="A26" s="107" t="s">
        <v>83</v>
      </c>
      <c r="B26" s="108">
        <v>10737</v>
      </c>
      <c r="C26" s="108">
        <f>'Summerhill water'!F26</f>
        <v>11016</v>
      </c>
      <c r="D26" s="136"/>
      <c r="E26" s="19"/>
    </row>
    <row r="27" spans="1:5" ht="15">
      <c r="A27" s="107" t="s">
        <v>84</v>
      </c>
      <c r="B27" s="108">
        <v>13514</v>
      </c>
      <c r="C27" s="108">
        <f>'Tuahiwi water'!F20</f>
        <v>14193</v>
      </c>
      <c r="D27" s="136"/>
      <c r="E27" s="19"/>
    </row>
    <row r="28" spans="1:5" ht="15">
      <c r="A28" s="107" t="s">
        <v>85</v>
      </c>
      <c r="B28" s="108">
        <v>2923</v>
      </c>
      <c r="C28" s="108">
        <f>'Woodend Tuahiwi water'!F29</f>
        <v>6152</v>
      </c>
      <c r="D28" s="136"/>
      <c r="E28" s="19"/>
    </row>
    <row r="29" spans="1:5" ht="15">
      <c r="A29" s="107" t="s">
        <v>86</v>
      </c>
      <c r="B29" s="108">
        <v>536</v>
      </c>
      <c r="C29" s="108">
        <f>'Waikuku water'!F16</f>
        <v>560</v>
      </c>
      <c r="D29" s="136"/>
      <c r="E29" s="19"/>
    </row>
    <row r="30" spans="1:5" ht="15">
      <c r="A30" s="107" t="s">
        <v>87</v>
      </c>
      <c r="B30" s="108">
        <v>1814</v>
      </c>
      <c r="C30" s="108">
        <f>'West Eyreton water'!F20</f>
        <v>1925</v>
      </c>
      <c r="D30" s="136"/>
      <c r="E30" s="19"/>
    </row>
    <row r="31" spans="1:5" ht="15">
      <c r="A31" s="107" t="s">
        <v>88</v>
      </c>
      <c r="B31" s="108">
        <v>8415</v>
      </c>
      <c r="C31" s="108">
        <f>'Woodend water'!F40</f>
        <v>12060</v>
      </c>
      <c r="D31" s="136"/>
      <c r="E31" s="19"/>
    </row>
    <row r="32" spans="1:5" ht="15">
      <c r="A32" s="106" t="s">
        <v>89</v>
      </c>
      <c r="B32" s="106"/>
      <c r="C32" s="124"/>
      <c r="D32" s="137"/>
      <c r="E32" s="19"/>
    </row>
    <row r="33" spans="1:5" ht="19.5" customHeight="1">
      <c r="A33" s="107" t="s">
        <v>474</v>
      </c>
      <c r="B33" s="108">
        <v>6076</v>
      </c>
      <c r="C33" s="108">
        <f>'Ocean Outfall sewer'!F28</f>
        <v>6567</v>
      </c>
      <c r="D33" s="136"/>
      <c r="E33" s="19"/>
    </row>
    <row r="34" spans="1:5" ht="15">
      <c r="A34" s="107" t="s">
        <v>72</v>
      </c>
      <c r="B34" s="108">
        <v>2209</v>
      </c>
      <c r="C34" s="108">
        <f>'Kaiapoi sewer'!F18</f>
        <v>2189</v>
      </c>
      <c r="D34" s="136"/>
      <c r="E34" s="19"/>
    </row>
    <row r="35" spans="1:5" ht="15">
      <c r="A35" s="107" t="s">
        <v>147</v>
      </c>
      <c r="B35" s="108">
        <v>401</v>
      </c>
      <c r="C35" s="108">
        <f>'Nth Kaiapoi SPA sewer'!F16</f>
        <v>410</v>
      </c>
      <c r="D35" s="136"/>
      <c r="E35" s="19"/>
    </row>
    <row r="36" spans="1:5" ht="15">
      <c r="A36" s="107" t="s">
        <v>148</v>
      </c>
      <c r="B36" s="108">
        <v>1850</v>
      </c>
      <c r="C36" s="108">
        <f>'West Kaiapoi SPA sewer'!F15</f>
        <v>1918</v>
      </c>
      <c r="D36" s="136"/>
      <c r="E36" s="19"/>
    </row>
    <row r="37" spans="1:5" ht="15">
      <c r="A37" s="107" t="s">
        <v>90</v>
      </c>
      <c r="B37" s="108">
        <v>2586</v>
      </c>
      <c r="C37" s="108">
        <f>'East Nth East Kaiapoi sewer'!F12</f>
        <v>2586</v>
      </c>
      <c r="D37" s="136"/>
      <c r="E37" s="19"/>
    </row>
    <row r="38" spans="1:5" ht="15">
      <c r="A38" s="107" t="s">
        <v>79</v>
      </c>
      <c r="B38" s="108">
        <v>1760.25</v>
      </c>
      <c r="C38" s="108">
        <f>'Rangiora Sewer'!F32</f>
        <v>1877.5</v>
      </c>
      <c r="D38" s="136"/>
      <c r="E38" s="19"/>
    </row>
    <row r="39" spans="1:5" ht="15">
      <c r="A39" s="107" t="s">
        <v>237</v>
      </c>
      <c r="B39" s="108">
        <v>166095</v>
      </c>
      <c r="C39" s="108">
        <f>'Todds Rd Sewer'!F14</f>
        <v>166095</v>
      </c>
      <c r="D39" s="136"/>
      <c r="E39" s="19"/>
    </row>
    <row r="40" spans="1:5" ht="15">
      <c r="A40" s="107" t="s">
        <v>91</v>
      </c>
      <c r="B40" s="110">
        <v>2.25</v>
      </c>
      <c r="C40" s="110">
        <f>'Southbrook Sewer'!F14</f>
        <v>2.25</v>
      </c>
      <c r="D40" s="136"/>
      <c r="E40" s="19"/>
    </row>
    <row r="41" spans="1:5" ht="15">
      <c r="A41" s="109" t="s">
        <v>172</v>
      </c>
      <c r="B41" s="108">
        <v>10217</v>
      </c>
      <c r="C41" s="108">
        <f>'East Rangiora Sewer'!F16</f>
        <v>10565</v>
      </c>
      <c r="D41" s="136"/>
      <c r="E41" s="19"/>
    </row>
    <row r="42" spans="1:5" ht="15">
      <c r="A42" s="109" t="s">
        <v>173</v>
      </c>
      <c r="B42" s="108">
        <v>2630</v>
      </c>
      <c r="C42" s="108">
        <f>'East Rangiora Sewer'!F27</f>
        <v>2699</v>
      </c>
      <c r="D42" s="136"/>
      <c r="E42" s="19"/>
    </row>
    <row r="43" spans="1:5" ht="15">
      <c r="A43" s="109" t="s">
        <v>412</v>
      </c>
      <c r="B43" s="108">
        <v>5626</v>
      </c>
      <c r="C43" s="108">
        <f>'Outer East Rangiora Sewer'!F20</f>
        <v>5107</v>
      </c>
      <c r="D43" s="136"/>
      <c r="E43" s="19"/>
    </row>
    <row r="44" spans="1:5" ht="15">
      <c r="A44" s="109" t="s">
        <v>174</v>
      </c>
      <c r="B44" s="108">
        <v>2116</v>
      </c>
      <c r="C44" s="108">
        <f>'Inner West Rangiora Sewer'!F22</f>
        <v>2153</v>
      </c>
      <c r="D44" s="136"/>
      <c r="E44" s="19"/>
    </row>
    <row r="45" spans="1:5" ht="15">
      <c r="A45" s="107" t="s">
        <v>178</v>
      </c>
      <c r="B45" s="108">
        <v>2923</v>
      </c>
      <c r="C45" s="108">
        <f>'Outer West Rangiora Sewer'!F21</f>
        <v>3024</v>
      </c>
      <c r="D45" s="136"/>
      <c r="E45" s="19"/>
    </row>
    <row r="46" spans="1:5" ht="15">
      <c r="A46" s="109" t="s">
        <v>175</v>
      </c>
      <c r="B46" s="108">
        <v>7642</v>
      </c>
      <c r="C46" s="108">
        <f>'North Rangiora Sewer'!F19</f>
        <v>7912</v>
      </c>
      <c r="D46" s="136"/>
      <c r="E46" s="19"/>
    </row>
    <row r="47" spans="1:5" ht="15">
      <c r="A47" s="109" t="s">
        <v>70</v>
      </c>
      <c r="B47" s="108">
        <v>16897</v>
      </c>
      <c r="C47" s="108">
        <f>Fernside!F16</f>
        <v>17712</v>
      </c>
      <c r="D47" s="136"/>
      <c r="E47" s="19"/>
    </row>
    <row r="48" spans="1:5" ht="15">
      <c r="A48" s="109" t="s">
        <v>84</v>
      </c>
      <c r="B48" s="108">
        <v>6082</v>
      </c>
      <c r="C48" s="108">
        <f>Tuahiwi!F16</f>
        <v>6918</v>
      </c>
      <c r="D48" s="136"/>
      <c r="E48" s="19"/>
    </row>
    <row r="49" spans="1:5" ht="30">
      <c r="A49" s="109" t="s">
        <v>149</v>
      </c>
      <c r="B49" s="108">
        <v>15683</v>
      </c>
      <c r="C49" s="108">
        <f>'Mandeville Ohoka Swannanoa'!F28</f>
        <v>16307</v>
      </c>
      <c r="D49" s="136"/>
      <c r="E49" s="19"/>
    </row>
    <row r="50" spans="1:5" ht="30">
      <c r="A50" s="109" t="s">
        <v>150</v>
      </c>
      <c r="B50" s="108">
        <v>1796</v>
      </c>
      <c r="C50" s="108">
        <f>'Mandeville Ohoka Swannanoa'!F15</f>
        <v>1868</v>
      </c>
      <c r="D50" s="136"/>
      <c r="E50" s="19"/>
    </row>
    <row r="51" spans="1:5" ht="15">
      <c r="A51" s="109" t="s">
        <v>86</v>
      </c>
      <c r="B51" s="108">
        <v>0</v>
      </c>
      <c r="C51" s="108">
        <f>'Waikuku Sewer'!F11</f>
        <v>2875</v>
      </c>
      <c r="D51" s="136"/>
      <c r="E51" s="19"/>
    </row>
    <row r="52" spans="1:5" ht="15">
      <c r="A52" s="107" t="s">
        <v>88</v>
      </c>
      <c r="B52" s="108">
        <v>0</v>
      </c>
      <c r="C52" s="108">
        <f>'Woodend sewer'!F19</f>
        <v>0</v>
      </c>
      <c r="D52" s="136"/>
      <c r="E52" s="19"/>
    </row>
    <row r="53" spans="1:5" ht="15">
      <c r="A53" s="107" t="s">
        <v>176</v>
      </c>
      <c r="B53" s="108">
        <v>8118</v>
      </c>
      <c r="C53" s="108">
        <f>'East Woodend sewer'!F21</f>
        <v>8390</v>
      </c>
      <c r="D53" s="136"/>
      <c r="E53" s="19"/>
    </row>
    <row r="54" spans="1:5" ht="15">
      <c r="A54" s="107" t="s">
        <v>311</v>
      </c>
      <c r="B54" s="108">
        <v>4423</v>
      </c>
      <c r="C54" s="108">
        <f>'Oxford Sewer'!F20</f>
        <v>4586</v>
      </c>
      <c r="D54" s="136"/>
      <c r="E54" s="19"/>
    </row>
    <row r="55" spans="1:5" ht="15">
      <c r="A55" s="107" t="s">
        <v>420</v>
      </c>
      <c r="B55" s="108">
        <v>17703</v>
      </c>
      <c r="C55" s="108">
        <f>'Loburn Lea Sewer'!F17</f>
        <v>18375</v>
      </c>
      <c r="D55" s="136"/>
      <c r="E55" s="19"/>
    </row>
    <row r="56" spans="1:5" ht="15">
      <c r="A56" s="106" t="s">
        <v>92</v>
      </c>
      <c r="B56" s="106"/>
      <c r="C56" s="124"/>
      <c r="D56" s="137"/>
      <c r="E56" s="19"/>
    </row>
    <row r="57" spans="1:5" ht="15">
      <c r="A57" s="109" t="s">
        <v>79</v>
      </c>
      <c r="B57" s="108">
        <v>42</v>
      </c>
      <c r="C57" s="108">
        <f>'Rangiora Drainage'!F18</f>
        <v>42</v>
      </c>
      <c r="D57" s="136"/>
      <c r="E57" s="19"/>
    </row>
    <row r="58" spans="1:5" ht="15">
      <c r="A58" s="109" t="s">
        <v>93</v>
      </c>
      <c r="B58" s="108">
        <v>8664</v>
      </c>
      <c r="C58" s="108">
        <f>'East Rangiora Drainage'!F18</f>
        <v>8972</v>
      </c>
      <c r="D58" s="136"/>
      <c r="E58" s="19"/>
    </row>
    <row r="59" spans="1:5" ht="15">
      <c r="A59" s="109" t="s">
        <v>376</v>
      </c>
      <c r="B59" s="108">
        <v>7911</v>
      </c>
      <c r="C59" s="108">
        <f>'Sth West Rangiora Drainage'!F16</f>
        <v>8157</v>
      </c>
      <c r="D59" s="136"/>
      <c r="E59" s="19"/>
    </row>
    <row r="60" spans="1:5" ht="15">
      <c r="A60" s="109" t="s">
        <v>151</v>
      </c>
      <c r="B60" s="108">
        <v>7015</v>
      </c>
      <c r="C60" s="108">
        <f>'Nth Rangiora Drainage'!F13</f>
        <v>7274</v>
      </c>
      <c r="D60" s="136"/>
      <c r="E60" s="19"/>
    </row>
    <row r="61" spans="1:5" ht="30">
      <c r="A61" s="109" t="s">
        <v>152</v>
      </c>
      <c r="B61" s="108">
        <v>3073</v>
      </c>
      <c r="C61" s="108">
        <f>'Nth Rangiora Drainage'!F23</f>
        <v>3187</v>
      </c>
      <c r="D61" s="136"/>
      <c r="E61" s="19"/>
    </row>
    <row r="62" spans="1:5" ht="15">
      <c r="A62" s="109" t="s">
        <v>82</v>
      </c>
      <c r="B62" s="110">
        <v>9.02</v>
      </c>
      <c r="C62" s="110">
        <f>'Southbrook Drainage'!F18</f>
        <v>9.02</v>
      </c>
      <c r="D62" s="136"/>
      <c r="E62" s="19"/>
    </row>
    <row r="63" spans="1:5" ht="15">
      <c r="A63" s="109" t="s">
        <v>237</v>
      </c>
      <c r="B63" s="108">
        <v>57500</v>
      </c>
      <c r="C63" s="108">
        <f>'Todds Rd Drainage'!F13</f>
        <v>57500</v>
      </c>
      <c r="D63" s="136"/>
      <c r="E63" s="19"/>
    </row>
    <row r="64" spans="1:5" ht="15">
      <c r="A64" s="109" t="s">
        <v>94</v>
      </c>
      <c r="B64" s="108">
        <v>0</v>
      </c>
      <c r="C64" s="108">
        <f>'Coastal Urban Drainage'!F12</f>
        <v>0</v>
      </c>
      <c r="D64" s="136"/>
      <c r="E64" s="19"/>
    </row>
    <row r="65" spans="1:5" ht="15">
      <c r="A65" s="109" t="s">
        <v>176</v>
      </c>
      <c r="B65" s="108">
        <v>10091</v>
      </c>
      <c r="C65" s="108">
        <f>'East Woodend Drainage'!F21</f>
        <v>10301</v>
      </c>
      <c r="D65" s="136"/>
      <c r="E65" s="19"/>
    </row>
    <row r="66" spans="1:5" ht="30.75" customHeight="1">
      <c r="A66" s="109" t="s">
        <v>179</v>
      </c>
      <c r="B66" s="108">
        <v>2784</v>
      </c>
      <c r="C66" s="108">
        <f>'Woodend SPA Drainage'!F14</f>
        <v>2784</v>
      </c>
      <c r="D66" s="136"/>
      <c r="E66" s="19"/>
    </row>
    <row r="67" spans="1:5" ht="15">
      <c r="A67" s="107" t="s">
        <v>180</v>
      </c>
      <c r="B67" s="110">
        <v>8.65</v>
      </c>
      <c r="C67" s="110">
        <f>'Woodend SPA Drainage'!F28</f>
        <v>8.65</v>
      </c>
      <c r="D67" s="136"/>
      <c r="E67" s="19"/>
    </row>
    <row r="68" spans="1:5" ht="15">
      <c r="A68" s="107" t="s">
        <v>72</v>
      </c>
      <c r="B68" s="108">
        <v>0</v>
      </c>
      <c r="C68" s="108">
        <f>'Kaiapoi Drainage'!F14</f>
        <v>0</v>
      </c>
      <c r="D68" s="136"/>
      <c r="E68" s="19"/>
    </row>
    <row r="69" spans="1:5" ht="15">
      <c r="A69" s="107" t="s">
        <v>147</v>
      </c>
      <c r="B69" s="108">
        <v>0</v>
      </c>
      <c r="C69" s="108">
        <f>'Kaiapoi Area A Drainage'!F12</f>
        <v>0</v>
      </c>
      <c r="D69" s="136"/>
      <c r="E69" s="19"/>
    </row>
    <row r="70" spans="1:5" ht="15">
      <c r="A70" s="107" t="s">
        <v>235</v>
      </c>
      <c r="B70" s="108">
        <v>0</v>
      </c>
      <c r="C70" s="110">
        <f>'Kaiapoi Area A Drainage'!F24</f>
        <v>0</v>
      </c>
      <c r="D70" s="136"/>
      <c r="E70" s="19"/>
    </row>
    <row r="71" spans="1:5" ht="15">
      <c r="A71" s="107" t="s">
        <v>424</v>
      </c>
      <c r="B71" s="108">
        <v>2166</v>
      </c>
      <c r="C71" s="108">
        <f>'East North East Kaiapoi'!F13</f>
        <v>2166</v>
      </c>
      <c r="D71" s="136"/>
      <c r="E71" s="19"/>
    </row>
    <row r="72" spans="1:5" ht="15">
      <c r="A72" s="107" t="s">
        <v>148</v>
      </c>
      <c r="B72" s="108">
        <v>4707</v>
      </c>
      <c r="C72" s="138">
        <f>'Kaiapoi Area E Drainage'!F11</f>
        <v>2859</v>
      </c>
      <c r="D72" s="136"/>
      <c r="E72" s="19"/>
    </row>
    <row r="73" spans="1:5" ht="15">
      <c r="A73" s="107" t="s">
        <v>309</v>
      </c>
      <c r="B73" s="108">
        <v>33267</v>
      </c>
      <c r="C73" s="138">
        <f>'Mill Road ODP'!F17</f>
        <v>31909</v>
      </c>
      <c r="D73" s="136"/>
      <c r="E73" s="19"/>
    </row>
    <row r="74" spans="1:5" ht="15">
      <c r="A74" s="106" t="s">
        <v>95</v>
      </c>
      <c r="B74" s="106"/>
      <c r="C74" s="124"/>
      <c r="D74" s="137"/>
      <c r="E74" s="19"/>
    </row>
    <row r="75" spans="1:5" ht="15">
      <c r="A75" s="107" t="s">
        <v>96</v>
      </c>
      <c r="B75" s="108">
        <v>8963</v>
      </c>
      <c r="C75" s="108">
        <f>'Dist Roading'!H132</f>
        <v>12062</v>
      </c>
      <c r="D75" s="136"/>
      <c r="E75" s="19"/>
    </row>
    <row r="76" spans="1:5" ht="15">
      <c r="A76" s="107" t="s">
        <v>82</v>
      </c>
      <c r="B76" s="110">
        <v>0.73</v>
      </c>
      <c r="C76" s="110">
        <f>'Southbrook Roading'!F14</f>
        <v>0.69</v>
      </c>
      <c r="D76" s="136"/>
      <c r="E76" s="19"/>
    </row>
    <row r="77" spans="1:5" ht="15">
      <c r="A77" s="107" t="s">
        <v>97</v>
      </c>
      <c r="B77" s="108">
        <v>7022</v>
      </c>
      <c r="C77" s="108">
        <f>'East Woodend Roading'!F18</f>
        <v>7022</v>
      </c>
      <c r="D77" s="136"/>
      <c r="E77" s="19"/>
    </row>
    <row r="78" spans="1:5" ht="15">
      <c r="A78" s="107" t="s">
        <v>178</v>
      </c>
      <c r="B78" s="108">
        <v>3593</v>
      </c>
      <c r="C78" s="108">
        <f>'West Rangiora Roading'!F17</f>
        <v>3555</v>
      </c>
      <c r="D78" s="136"/>
      <c r="E78" s="19"/>
    </row>
    <row r="79" spans="1:5" ht="15">
      <c r="A79" s="107" t="s">
        <v>169</v>
      </c>
      <c r="B79" s="108">
        <v>5931</v>
      </c>
      <c r="C79" s="108">
        <f>'West Kaiapoi Roading'!F14</f>
        <v>5931</v>
      </c>
      <c r="D79" s="136"/>
      <c r="E79" s="19"/>
    </row>
    <row r="80" spans="1:5" ht="15">
      <c r="A80" s="107" t="s">
        <v>177</v>
      </c>
      <c r="B80" s="108">
        <v>10124</v>
      </c>
      <c r="C80" s="108">
        <f>'West Kaiapoi Roading'!F33</f>
        <v>10227</v>
      </c>
      <c r="D80" s="136"/>
      <c r="E80" s="19"/>
    </row>
    <row r="81" spans="1:5" ht="15">
      <c r="A81" s="107" t="s">
        <v>98</v>
      </c>
      <c r="B81" s="108">
        <v>764</v>
      </c>
      <c r="C81" s="108">
        <f>'North Kaiapoi Roading'!F16</f>
        <v>764</v>
      </c>
      <c r="D81" s="136"/>
      <c r="E81" s="19"/>
    </row>
    <row r="82" spans="1:5" ht="15">
      <c r="A82" s="107" t="s">
        <v>472</v>
      </c>
      <c r="B82" s="108">
        <v>44</v>
      </c>
      <c r="C82" s="108">
        <f>'Kaiapoi South MUBA '!F11</f>
        <v>44</v>
      </c>
      <c r="D82" s="136"/>
      <c r="E82" s="19"/>
    </row>
    <row r="83" spans="1:5" ht="15">
      <c r="A83" s="107" t="s">
        <v>473</v>
      </c>
      <c r="B83" s="108">
        <v>7.5</v>
      </c>
      <c r="C83" s="110">
        <f>'Kaiapoi East MUBA '!F11</f>
        <v>7.5</v>
      </c>
      <c r="D83" s="136"/>
      <c r="E83" s="19"/>
    </row>
    <row r="84" spans="1:5" ht="15">
      <c r="A84" s="107" t="s">
        <v>471</v>
      </c>
      <c r="B84" s="108">
        <v>5653</v>
      </c>
      <c r="C84" s="108">
        <f>'Outer East Rangiora Roading'!F17</f>
        <v>5298</v>
      </c>
      <c r="D84" s="136"/>
      <c r="E84" s="19"/>
    </row>
    <row r="85" spans="1:5" ht="30">
      <c r="A85" s="109" t="s">
        <v>576</v>
      </c>
      <c r="B85" s="108" t="s">
        <v>368</v>
      </c>
      <c r="C85" s="108">
        <f>'Outer East Rangiora Roading'!F29</f>
        <v>3849</v>
      </c>
      <c r="D85" s="136"/>
      <c r="E85" s="19"/>
    </row>
    <row r="86" spans="1:5" ht="30">
      <c r="A86" s="109" t="s">
        <v>143</v>
      </c>
      <c r="B86" s="108">
        <v>7199</v>
      </c>
      <c r="C86" s="108">
        <f>'Sth West Rangiora Roading'!F17</f>
        <v>7196</v>
      </c>
      <c r="D86" s="136"/>
      <c r="E86" s="19"/>
    </row>
    <row r="87" spans="1:5" ht="15">
      <c r="A87" s="106" t="s">
        <v>99</v>
      </c>
      <c r="B87" s="106"/>
      <c r="C87" s="125"/>
      <c r="D87" s="137"/>
      <c r="E87" s="19"/>
    </row>
    <row r="88" spans="1:5" ht="15">
      <c r="A88" s="107" t="s">
        <v>28</v>
      </c>
      <c r="B88" s="108">
        <v>1329</v>
      </c>
      <c r="C88" s="108">
        <f>Reserves!G36</f>
        <v>1665</v>
      </c>
      <c r="D88" s="136"/>
      <c r="E88" s="19"/>
    </row>
    <row r="89" spans="1:5" ht="15">
      <c r="A89" s="107" t="s">
        <v>181</v>
      </c>
      <c r="B89" s="108">
        <v>12750</v>
      </c>
      <c r="C89" s="108">
        <f>Reserves!G31</f>
        <v>19928</v>
      </c>
      <c r="D89" s="136"/>
      <c r="E89" s="19"/>
    </row>
  </sheetData>
  <customSheetViews>
    <customSheetView guid="{E62C39C8-EAA6-407C-933E-B5BB52ED1B14}" showPageBreaks="1" fitToPage="1" printArea="1" hiddenColumns="1">
      <pane xSplit="21" ySplit="5" topLeftCell="W33" activePane="bottomRight" state="frozen"/>
      <selection pane="bottomRight" activeCell="A35" sqref="A35"/>
      <rowBreaks count="2" manualBreakCount="2">
        <brk id="29" max="16383" man="1"/>
        <brk id="68" max="16383" man="1"/>
      </rowBreaks>
      <pageMargins left="0.55118110236220474" right="0.55118110236220474" top="0.59055118110236227" bottom="0.59055118110236227" header="0.51181102362204722" footer="0.31496062992125984"/>
      <pageSetup paperSize="9" scale="95" fitToHeight="2" orientation="portrait" r:id="rId1"/>
      <headerFooter alignWithMargins="0">
        <oddFooter>Page &amp;P</oddFooter>
      </headerFooter>
    </customSheetView>
  </customSheetViews>
  <hyperlinks>
    <hyperlink ref="A6" location="'Cust water'!A1" display="Cust" xr:uid="{00000000-0004-0000-0000-000000000000}"/>
    <hyperlink ref="A7" location="'Fernside water'!A1" display="Fernside" xr:uid="{00000000-0004-0000-0000-000001000000}"/>
    <hyperlink ref="A8" location="'Garrymere water'!A1" display="Garrymere" xr:uid="{00000000-0004-0000-0000-000002000000}"/>
    <hyperlink ref="A9" location="'Kaiapoi water'!A1" display="Kaiapoi" xr:uid="{00000000-0004-0000-0000-000003000000}"/>
    <hyperlink ref="A13" location="'Mandeville water'!A1" display="Mandeville" xr:uid="{00000000-0004-0000-0000-000004000000}"/>
    <hyperlink ref="A14" location="'Ohoka water'!A1" display="Ohoka" xr:uid="{00000000-0004-0000-0000-000005000000}"/>
    <hyperlink ref="A15" location="'Oxford water'!A1" display="Oxford" xr:uid="{00000000-0004-0000-0000-000006000000}"/>
    <hyperlink ref="A16" location="'Oxford 1 water'!A1" display="Oxford 1" xr:uid="{00000000-0004-0000-0000-000007000000}"/>
    <hyperlink ref="A17" location="'Oxford 2 water'!A1" display="Oxford 2" xr:uid="{00000000-0004-0000-0000-000008000000}"/>
    <hyperlink ref="A18" location="'Poyntzs Rd water'!A1" display="Poyntzs Road" xr:uid="{00000000-0004-0000-0000-000009000000}"/>
    <hyperlink ref="A19" location="'Rangiora water'!A1" display="Rangiora" xr:uid="{00000000-0004-0000-0000-00000A000000}"/>
    <hyperlink ref="A26" location="'Summerhill water'!A1" display="Summerhill" xr:uid="{00000000-0004-0000-0000-00000B000000}"/>
    <hyperlink ref="A27" location="'Tuahiwi water'!A1" display="Tuahiwi" xr:uid="{00000000-0004-0000-0000-00000C000000}"/>
    <hyperlink ref="A28" location="'Woodend Tuahiwi water'!A1" display="Woodend - Tuahiwi water" xr:uid="{00000000-0004-0000-0000-00000D000000}"/>
    <hyperlink ref="A29" location="'Waikuku water'!A1" display="Waikuku Beach" xr:uid="{00000000-0004-0000-0000-00000E000000}"/>
    <hyperlink ref="A30" location="'West Eyreton water'!A1" display="West Eyreton" xr:uid="{00000000-0004-0000-0000-00000F000000}"/>
    <hyperlink ref="A31" location="'Woodend water'!A1" display="Woodend" xr:uid="{00000000-0004-0000-0000-000010000000}"/>
    <hyperlink ref="A89" location="Reserves!A1" display="Business &amp; Residential Zones" xr:uid="{00000000-0004-0000-0000-000011000000}"/>
    <hyperlink ref="A88" location="Reserves!A1" display="Rural Zones" xr:uid="{00000000-0004-0000-0000-000012000000}"/>
    <hyperlink ref="A75" location="'Dist Roading'!A1" display="District" xr:uid="{00000000-0004-0000-0000-000013000000}"/>
    <hyperlink ref="A10" location="'North East Kaiapoi water'!A1" display="North East Kaiapoi SPA" xr:uid="{00000000-0004-0000-0000-000014000000}"/>
    <hyperlink ref="A12" location="'West Kaiapoi water'!A1" display="West Kaiapoi SPA" xr:uid="{00000000-0004-0000-0000-000015000000}"/>
    <hyperlink ref="A20" location="'East Rangiora water'!A1" display="East Rangiora Outline Development Plan Area" xr:uid="{00000000-0004-0000-0000-000016000000}"/>
    <hyperlink ref="A21" location="'East Rangiora water'!A1" display="East Rangiora Outline Development Plan Area - Kippenberger Ave" xr:uid="{00000000-0004-0000-0000-000017000000}"/>
    <hyperlink ref="A22" location="'North Rangiora water'!A1" display="North Rangiora Outline Development Plan Area" xr:uid="{00000000-0004-0000-0000-000018000000}"/>
    <hyperlink ref="A23" location="'West Rangiora water'!A1" display="West Rangiora SPA" xr:uid="{00000000-0004-0000-0000-000019000000}"/>
    <hyperlink ref="A76" location="'Southbrook Roading'!A1" display="Southbrook (m2)" xr:uid="{00000000-0004-0000-0000-00001A000000}"/>
    <hyperlink ref="A77" location="'East Woodend Roading'!A1" display="East Woodend" xr:uid="{00000000-0004-0000-0000-00001B000000}"/>
    <hyperlink ref="A78" location="'West Rangiora Roading'!A1" display="West Rangiora SPA" xr:uid="{00000000-0004-0000-0000-00001C000000}"/>
    <hyperlink ref="A79" location="'West Kaiapoi Roading'!A1" display="West Kaiapoi ODP" xr:uid="{00000000-0004-0000-0000-00001D000000}"/>
    <hyperlink ref="A80" location="'West Kaiapoi Roading'!A1" display="West Kaiapoi ODP - new collector Rd" xr:uid="{00000000-0004-0000-0000-00001E000000}"/>
    <hyperlink ref="A81" location="'North Kaiapoi Roading'!A1" display="Kaiapoi North" xr:uid="{00000000-0004-0000-0000-00001F000000}"/>
    <hyperlink ref="A86" location="'Sth West Rangiora Roading'!A1" display="West Belt Extension to Townsend Road" xr:uid="{00000000-0004-0000-0000-000020000000}"/>
    <hyperlink ref="A33" location="'Ocean Outfall sewer'!A1" display="Eastern Districts " xr:uid="{00000000-0004-0000-0000-000021000000}"/>
    <hyperlink ref="A34" location="'Kaiapoi sewer'!A1" display="Kaiapoi" xr:uid="{00000000-0004-0000-0000-000022000000}"/>
    <hyperlink ref="A35" location="'Nth Kaiapoi SPA sewer'!A1" display="North Kaiapoi SPA" xr:uid="{00000000-0004-0000-0000-000023000000}"/>
    <hyperlink ref="A36" location="'West Kaiapoi SPA sewer'!A1" display="West Kaiapoi SPA" xr:uid="{00000000-0004-0000-0000-000024000000}"/>
    <hyperlink ref="A37" location="'East Nth East Kaiapoi sewer'!A1" display="East North East Kaiapoi Reticulation" xr:uid="{00000000-0004-0000-0000-000025000000}"/>
    <hyperlink ref="A38" location="'Rangiora Sewer'!A1" display="Rangiora" xr:uid="{00000000-0004-0000-0000-000026000000}"/>
    <hyperlink ref="A40" location="'Southbrook Sewer'!A1" display="Southbrook Stage 2 (m2)" xr:uid="{00000000-0004-0000-0000-000027000000}"/>
    <hyperlink ref="A41" location="'East Rangiora Sewer'!A1" display="East Rangiora Outline Development Plan Area " xr:uid="{00000000-0004-0000-0000-000028000000}"/>
    <hyperlink ref="A42" location="'East Rangiora Sewer'!A1" display="East Rangiora Outline Development Plan Area (Gilberthorpes)" xr:uid="{00000000-0004-0000-0000-000029000000}"/>
    <hyperlink ref="A44" location="'Inner West Rangiora Sewer'!A1" display="West Rangiora Outline Development Plan Area " xr:uid="{00000000-0004-0000-0000-00002A000000}"/>
    <hyperlink ref="A45" location="'Outer West Rangiora Sewer'!A1" display="Outer West Rangiora SPA" xr:uid="{00000000-0004-0000-0000-00002B000000}"/>
    <hyperlink ref="A46" location="'North Rangiora Sewer'!A1" display="North Rangiora Outline Development Plan Area" xr:uid="{00000000-0004-0000-0000-00002C000000}"/>
    <hyperlink ref="A49" location="'Mandeville Ohoka Swannanoa'!A1" display="Amalgamation Mandeville, Ohoka, Swannanoa" xr:uid="{00000000-0004-0000-0000-00002D000000}"/>
    <hyperlink ref="A50" location="'Mandeville Ohoka Swannanoa'!A1" display="Amalgamation Mandeville, Ohoka, Swannanoa - existing properties wishing to connect" xr:uid="{00000000-0004-0000-0000-00002E000000}"/>
    <hyperlink ref="A51" location="'Waikuku Sewer'!A1" display="Waikuku" xr:uid="{00000000-0004-0000-0000-00002F000000}"/>
    <hyperlink ref="A52" location="'Woodend sewer'!A1" display="Woodend" xr:uid="{00000000-0004-0000-0000-000030000000}"/>
    <hyperlink ref="A53" location="'East Woodend sewer'!A1" display="East Woodend ODPA" xr:uid="{00000000-0004-0000-0000-000031000000}"/>
    <hyperlink ref="A54" location="'Oxford Sewer'!A1" display="Oxford Sewer" xr:uid="{00000000-0004-0000-0000-000032000000}"/>
    <hyperlink ref="A57" location="'Rangiora Drainage'!A1" display="Rangiora" xr:uid="{00000000-0004-0000-0000-000033000000}"/>
    <hyperlink ref="A58" location="'East Rangiora Drainage'!A1" display="East Rangiora" xr:uid="{00000000-0004-0000-0000-000034000000}"/>
    <hyperlink ref="A59" location="'Sth West Rangiora Drainage'!A1" display="South West Rangiora DCA" xr:uid="{00000000-0004-0000-0000-000035000000}"/>
    <hyperlink ref="A60" location="'Nth Rangiora Drainage'!A1" display="North Rangiora - Enverton Drive Ashley Street" xr:uid="{00000000-0004-0000-0000-000036000000}"/>
    <hyperlink ref="A61" location="'Nth Rangiora Drainage'!A1" display="North Rangiora - Enverton Drive Ballarat Rd" xr:uid="{00000000-0004-0000-0000-000037000000}"/>
    <hyperlink ref="A62" location="'Southbrook Drainage'!A1" display="Southbrook (m2)" xr:uid="{00000000-0004-0000-0000-000038000000}"/>
    <hyperlink ref="A64" location="'Coastal Urban Drainage'!A1" display="Coastal Urban" xr:uid="{00000000-0004-0000-0000-000039000000}"/>
    <hyperlink ref="A66" location="'Woodend SPA Drainage'!A1" display="Woodend SPA" xr:uid="{00000000-0004-0000-0000-00003A000000}"/>
    <hyperlink ref="A67" location="'Woodend SPA Drainage'!A1" display="Woodend SPA (Commercial) (m2)" xr:uid="{00000000-0004-0000-0000-00003B000000}"/>
    <hyperlink ref="A68" location="'Kaiapoi Drainage'!A1" display="Kaiapoi" xr:uid="{00000000-0004-0000-0000-00003C000000}"/>
    <hyperlink ref="A69" location="'Kaiapoi Area A Drainage'!A1" display="Kaiapoi Area A SPA" xr:uid="{00000000-0004-0000-0000-00003D000000}"/>
    <hyperlink ref="A70" location="'Kaiapoi Area A Drainage'!A1" display="Kaiapoi Area A SPA Commercial (m2)" xr:uid="{00000000-0004-0000-0000-00003E000000}"/>
    <hyperlink ref="A72" location="'Kaiapoi Area E Drainage'!A1" display="Kaiapoi Area E SPA" xr:uid="{00000000-0004-0000-0000-00003F000000}"/>
    <hyperlink ref="A63" location="'Todds Rd Drainage'!A1" display="Todds Rd Business Zone (per hectare)" xr:uid="{00000000-0004-0000-0000-000040000000}"/>
    <hyperlink ref="A39" location="'Todds Rd Sewer'!A1" display="Todds Rd Business Zone (per hectare)" xr:uid="{00000000-0004-0000-0000-000041000000}"/>
    <hyperlink ref="A73" location="'Mill Road ODP'!A1" display="Mill Road ODP" xr:uid="{00000000-0004-0000-0000-000042000000}"/>
    <hyperlink ref="A47" location="Fernside!A1" display="Fernside" xr:uid="{00000000-0004-0000-0000-000043000000}"/>
    <hyperlink ref="A48" location="Tuahiwi!A1" display="Tuahiwi" xr:uid="{00000000-0004-0000-0000-000044000000}"/>
    <hyperlink ref="A24" location="'Outer East Rangiora water'!A1" display="Outer East Rangiora" xr:uid="{00000000-0004-0000-0000-000045000000}"/>
    <hyperlink ref="A43" location="'Outer East Rangiora Sewer'!A1" display="Outer East Rangiora Sewer" xr:uid="{00000000-0004-0000-0000-000046000000}"/>
    <hyperlink ref="A55" location="'Loburn Lea Sewer'!A1" display="Loburn Lea Sewer" xr:uid="{00000000-0004-0000-0000-000047000000}"/>
    <hyperlink ref="A71" location="'East North East Kaiapoi'!A1" display="East North East Kaiapoi" xr:uid="{00000000-0004-0000-0000-000048000000}"/>
    <hyperlink ref="A25" location="'Southbrook water'!A1" display="Southbrook (m2)" xr:uid="{00000000-0004-0000-0000-000049000000}"/>
    <hyperlink ref="A11" location="'ENE Kaiapoi water'!A1" display="East North East Kaiapoi" xr:uid="{00000000-0004-0000-0000-00004A000000}"/>
    <hyperlink ref="A82" location="'Kaiapoi South MUBA '!A1" display="Kaiapoi South MUBA (m2)" xr:uid="{00000000-0004-0000-0000-00004B000000}"/>
    <hyperlink ref="A83" location="'Kaiapoi East MUBA '!A1" display="Kaiapoi East MUBA (m2)" xr:uid="{00000000-0004-0000-0000-00004C000000}"/>
    <hyperlink ref="A84" location="'Outer East Rangiora Roading'!A1" display="Outer East Rangiora Roading" xr:uid="{00000000-0004-0000-0000-00004D000000}"/>
    <hyperlink ref="A85" location="'Outer East Rangiora Roading'!A1" display="Outer East Rangiora Roading" xr:uid="{8215923C-8088-49F0-872E-4D1E939ABF47}"/>
  </hyperlinks>
  <pageMargins left="0.55118110236220474" right="0.55118110236220474" top="0.59055118110236227" bottom="0.59055118110236227" header="0.51181102362204722" footer="0.31496062992125984"/>
  <pageSetup paperSize="9" fitToWidth="0" orientation="portrait" r:id="rId2"/>
  <headerFooter alignWithMargins="0">
    <oddFooter>Page &amp;P</oddFooter>
  </headerFooter>
  <rowBreaks count="2" manualBreakCount="2">
    <brk id="31" max="2" man="1"/>
    <brk id="73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G17"/>
  <sheetViews>
    <sheetView workbookViewId="0">
      <selection activeCell="K13" sqref="K13"/>
    </sheetView>
  </sheetViews>
  <sheetFormatPr defaultRowHeight="15"/>
  <cols>
    <col min="1" max="1" width="40.28515625" bestFit="1" customWidth="1"/>
    <col min="2" max="2" width="11.5703125" bestFit="1" customWidth="1"/>
    <col min="3" max="3" width="14.7109375" customWidth="1"/>
    <col min="4" max="4" width="14" customWidth="1"/>
    <col min="5" max="5" width="12.28515625" bestFit="1" customWidth="1"/>
    <col min="6" max="6" width="12" customWidth="1"/>
  </cols>
  <sheetData>
    <row r="1" spans="1:7">
      <c r="A1" s="1" t="s">
        <v>0</v>
      </c>
    </row>
    <row r="2" spans="1:7">
      <c r="A2" s="1" t="s">
        <v>42</v>
      </c>
    </row>
    <row r="3" spans="1:7">
      <c r="A3" s="1" t="str">
        <f>'Cust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 t="s">
        <v>110</v>
      </c>
      <c r="B5" s="9"/>
      <c r="C5" s="9"/>
      <c r="D5" s="9"/>
      <c r="E5" s="9"/>
      <c r="F5" s="9"/>
    </row>
    <row r="6" spans="1:7">
      <c r="A6" s="39" t="s">
        <v>3</v>
      </c>
      <c r="B6" s="41"/>
      <c r="C6" s="41"/>
      <c r="D6" s="41"/>
      <c r="E6" s="41"/>
      <c r="F6" s="41"/>
    </row>
    <row r="7" spans="1:7">
      <c r="A7" s="9"/>
      <c r="B7" s="54"/>
      <c r="C7" s="41"/>
      <c r="D7" s="41"/>
      <c r="E7" s="41"/>
      <c r="F7" s="41"/>
      <c r="G7" s="31"/>
    </row>
    <row r="8" spans="1:7">
      <c r="A8" s="9"/>
      <c r="B8" s="54">
        <f>SUM(B7:B7)</f>
        <v>0</v>
      </c>
      <c r="C8" s="54">
        <f>B8</f>
        <v>0</v>
      </c>
      <c r="D8" s="11">
        <v>156</v>
      </c>
      <c r="E8" s="88">
        <f>ROUND(B8/D8,0)</f>
        <v>0</v>
      </c>
      <c r="F8" s="88">
        <f>ROUND(E8*1.15,0)</f>
        <v>0</v>
      </c>
    </row>
    <row r="9" spans="1:7">
      <c r="A9" s="14" t="s">
        <v>6</v>
      </c>
      <c r="B9" s="54"/>
      <c r="C9" s="54"/>
      <c r="D9" s="11"/>
      <c r="E9" s="88"/>
      <c r="F9" s="88"/>
    </row>
    <row r="10" spans="1:7">
      <c r="A10" s="39" t="s">
        <v>3</v>
      </c>
      <c r="B10" s="54"/>
      <c r="C10" s="54"/>
      <c r="D10" s="11"/>
      <c r="E10" s="88"/>
      <c r="F10" s="88"/>
    </row>
    <row r="11" spans="1:7">
      <c r="A11" s="41"/>
      <c r="B11" s="54"/>
      <c r="C11" s="54"/>
      <c r="D11" s="11"/>
      <c r="E11" s="88"/>
      <c r="F11" s="88"/>
    </row>
    <row r="12" spans="1:7">
      <c r="A12" s="41"/>
      <c r="B12" s="54">
        <f>SUM(B11:B11)</f>
        <v>0</v>
      </c>
      <c r="C12" s="54">
        <f>B12</f>
        <v>0</v>
      </c>
      <c r="D12" s="11">
        <v>1934</v>
      </c>
      <c r="E12" s="88">
        <f>ROUND(B12/D12,0)</f>
        <v>0</v>
      </c>
      <c r="F12" s="88">
        <f>ROUND(E12*1.15,0)</f>
        <v>0</v>
      </c>
      <c r="G12" s="31"/>
    </row>
    <row r="13" spans="1:7">
      <c r="A13" s="39" t="s">
        <v>320</v>
      </c>
      <c r="B13" s="54"/>
      <c r="C13" s="41"/>
      <c r="D13" s="41"/>
      <c r="E13" s="41"/>
      <c r="F13" s="41"/>
    </row>
    <row r="14" spans="1:7">
      <c r="A14" s="9" t="s">
        <v>343</v>
      </c>
      <c r="B14" s="11">
        <v>1240276</v>
      </c>
      <c r="C14" s="41"/>
      <c r="D14" s="41"/>
      <c r="E14" s="41"/>
      <c r="F14" s="41"/>
    </row>
    <row r="15" spans="1:7">
      <c r="A15" s="9"/>
      <c r="B15" s="116">
        <f>SUM(B14:B14)</f>
        <v>1240276</v>
      </c>
      <c r="C15" s="54">
        <f>B15</f>
        <v>1240276</v>
      </c>
      <c r="D15" s="11">
        <v>156</v>
      </c>
      <c r="E15" s="88">
        <f>ROUND(B15/D15,0)</f>
        <v>7950</v>
      </c>
      <c r="F15" s="88">
        <f>ROUND(E15*1.15,0)</f>
        <v>9143</v>
      </c>
    </row>
    <row r="16" spans="1:7">
      <c r="A16" s="9"/>
      <c r="B16" s="36"/>
      <c r="C16" s="10"/>
      <c r="D16" s="11"/>
      <c r="E16" s="12"/>
      <c r="F16" s="12"/>
    </row>
    <row r="17" spans="1:6">
      <c r="A17" s="14" t="s">
        <v>188</v>
      </c>
      <c r="B17" s="36"/>
      <c r="C17" s="10"/>
      <c r="D17" s="11"/>
      <c r="E17" s="12">
        <f>SUM(E8:E15)</f>
        <v>7950</v>
      </c>
      <c r="F17" s="12">
        <f>SUM(F8:F15)</f>
        <v>9143</v>
      </c>
    </row>
  </sheetData>
  <customSheetViews>
    <customSheetView guid="{E62C39C8-EAA6-407C-933E-B5BB52ED1B14}" fitToPage="1">
      <selection activeCell="D23" sqref="D23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7" fitToHeight="0" orientation="portrait" r:id="rId2"/>
  <headerFooter>
    <oddFooter>&amp;L&amp;"-,Bold"Waimakariri District Council&amp;C&amp;D&amp;RPage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  <pageSetUpPr fitToPage="1"/>
  </sheetPr>
  <dimension ref="A1:F28"/>
  <sheetViews>
    <sheetView topLeftCell="A4" workbookViewId="0">
      <selection activeCell="B14" sqref="B14"/>
    </sheetView>
  </sheetViews>
  <sheetFormatPr defaultRowHeight="15"/>
  <cols>
    <col min="1" max="1" width="60.4257812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43</v>
      </c>
    </row>
    <row r="3" spans="1:6">
      <c r="A3" s="1" t="str">
        <f>'Cust water'!A3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1"/>
      <c r="D5" s="11"/>
      <c r="E5" s="12"/>
      <c r="F5" s="12"/>
    </row>
    <row r="6" spans="1:6" ht="15.75" customHeight="1">
      <c r="A6" s="14" t="s">
        <v>4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41" t="s">
        <v>478</v>
      </c>
      <c r="B8" s="117">
        <v>245000</v>
      </c>
      <c r="C8" s="9"/>
      <c r="D8" s="9"/>
      <c r="E8" s="9"/>
      <c r="F8" s="9"/>
    </row>
    <row r="9" spans="1:6">
      <c r="A9" s="41" t="s">
        <v>270</v>
      </c>
      <c r="B9" s="91">
        <v>390000</v>
      </c>
      <c r="C9" s="41"/>
      <c r="D9" s="41"/>
      <c r="E9" s="41"/>
      <c r="F9" s="41"/>
    </row>
    <row r="10" spans="1:6" ht="14.25" customHeight="1">
      <c r="A10" s="9" t="s">
        <v>299</v>
      </c>
      <c r="B10" s="54">
        <v>190000</v>
      </c>
      <c r="C10" s="41"/>
      <c r="D10" s="41"/>
      <c r="E10" s="41"/>
      <c r="F10" s="41"/>
    </row>
    <row r="11" spans="1:6" ht="14.25" customHeight="1">
      <c r="A11" s="9" t="s">
        <v>366</v>
      </c>
      <c r="B11" s="54">
        <v>136000</v>
      </c>
      <c r="C11" s="41"/>
      <c r="D11" s="41"/>
      <c r="E11" s="41"/>
      <c r="F11" s="41"/>
    </row>
    <row r="12" spans="1:6" ht="14.25" customHeight="1">
      <c r="A12" s="9" t="s">
        <v>384</v>
      </c>
      <c r="B12" s="54">
        <v>502000</v>
      </c>
      <c r="C12" s="41"/>
      <c r="D12" s="41"/>
      <c r="E12" s="41"/>
      <c r="F12" s="41"/>
    </row>
    <row r="13" spans="1:6">
      <c r="A13" s="15"/>
      <c r="B13" s="54">
        <f>SUM(B8:B12)</f>
        <v>1463000</v>
      </c>
      <c r="C13" s="54">
        <f>B13</f>
        <v>1463000</v>
      </c>
      <c r="D13" s="11">
        <v>215</v>
      </c>
      <c r="E13" s="88">
        <f>ROUND(B13/D13,0)</f>
        <v>6805</v>
      </c>
      <c r="F13" s="88">
        <f>ROUND(E13*1.15,0)</f>
        <v>7826</v>
      </c>
    </row>
    <row r="14" spans="1:6">
      <c r="A14" s="14" t="s">
        <v>6</v>
      </c>
      <c r="B14" s="41"/>
      <c r="C14" s="41"/>
      <c r="D14" s="41"/>
      <c r="E14" s="41"/>
      <c r="F14" s="41"/>
    </row>
    <row r="15" spans="1:6">
      <c r="A15" s="39" t="s">
        <v>3</v>
      </c>
      <c r="B15" s="41"/>
      <c r="C15" s="41"/>
      <c r="D15" s="41"/>
      <c r="E15" s="41"/>
      <c r="F15" s="41"/>
    </row>
    <row r="16" spans="1:6">
      <c r="A16" s="41" t="s">
        <v>350</v>
      </c>
      <c r="B16" s="91">
        <v>350000</v>
      </c>
      <c r="C16" s="41"/>
      <c r="D16" s="41"/>
      <c r="E16" s="41"/>
      <c r="F16" s="41"/>
    </row>
    <row r="17" spans="1:6">
      <c r="A17" s="41" t="s">
        <v>271</v>
      </c>
      <c r="B17" s="91">
        <v>216000</v>
      </c>
      <c r="C17" s="41"/>
      <c r="D17" s="41"/>
      <c r="E17" s="41"/>
      <c r="F17" s="41"/>
    </row>
    <row r="18" spans="1:6">
      <c r="A18" s="9"/>
      <c r="B18" s="54">
        <f>SUM(B16:B17)</f>
        <v>566000</v>
      </c>
      <c r="C18" s="54">
        <f>B18*(D$13/D18)</f>
        <v>95818.897637795279</v>
      </c>
      <c r="D18" s="11">
        <v>1270</v>
      </c>
      <c r="E18" s="88">
        <f>ROUND(B18/D18,0)</f>
        <v>446</v>
      </c>
      <c r="F18" s="88">
        <f>ROUND(E18*1.15,0)</f>
        <v>513</v>
      </c>
    </row>
    <row r="19" spans="1:6">
      <c r="A19" s="9"/>
      <c r="B19" s="54"/>
      <c r="C19" s="54"/>
      <c r="D19" s="11"/>
      <c r="E19" s="88"/>
      <c r="F19" s="88"/>
    </row>
    <row r="20" spans="1:6">
      <c r="A20" s="39" t="s">
        <v>7</v>
      </c>
      <c r="B20" s="41"/>
      <c r="C20" s="41"/>
      <c r="D20" s="41"/>
      <c r="E20" s="41"/>
      <c r="F20" s="41"/>
    </row>
    <row r="21" spans="1:6">
      <c r="A21" s="9" t="s">
        <v>44</v>
      </c>
      <c r="B21" s="54">
        <v>1938561</v>
      </c>
      <c r="C21" s="41"/>
      <c r="D21" s="41"/>
      <c r="E21" s="41"/>
      <c r="F21" s="41"/>
    </row>
    <row r="22" spans="1:6">
      <c r="A22" s="9" t="s">
        <v>44</v>
      </c>
      <c r="B22" s="54">
        <v>302982</v>
      </c>
      <c r="C22" s="41"/>
      <c r="D22" s="41"/>
      <c r="E22" s="41"/>
      <c r="F22" s="41"/>
    </row>
    <row r="23" spans="1:6">
      <c r="A23" s="9"/>
      <c r="B23" s="54">
        <f>SUM(B21:B22)</f>
        <v>2241543</v>
      </c>
      <c r="C23" s="54">
        <f>B23*(D$13/D23)</f>
        <v>379473.81496062991</v>
      </c>
      <c r="D23" s="11">
        <v>1270</v>
      </c>
      <c r="E23" s="88">
        <f>ROUND(B23/D23,0)</f>
        <v>1765</v>
      </c>
      <c r="F23" s="88">
        <f>ROUND(E23*1.15,0)</f>
        <v>2030</v>
      </c>
    </row>
    <row r="24" spans="1:6">
      <c r="A24" s="9"/>
      <c r="B24" s="54"/>
      <c r="C24" s="41"/>
      <c r="D24" s="41"/>
      <c r="E24" s="41"/>
      <c r="F24" s="41"/>
    </row>
    <row r="25" spans="1:6">
      <c r="A25" s="9" t="s">
        <v>269</v>
      </c>
      <c r="B25" s="54">
        <v>127505</v>
      </c>
      <c r="C25" s="41"/>
      <c r="D25" s="41"/>
      <c r="E25" s="41"/>
      <c r="F25" s="41"/>
    </row>
    <row r="26" spans="1:6">
      <c r="A26" s="9"/>
      <c r="B26" s="54">
        <f>SUM(B25:B25)</f>
        <v>127505</v>
      </c>
      <c r="C26" s="54">
        <f>B26*(D$13/D26)</f>
        <v>22107.721774193549</v>
      </c>
      <c r="D26" s="11">
        <v>1240</v>
      </c>
      <c r="E26" s="88">
        <f>ROUND(B26/D26,0)</f>
        <v>103</v>
      </c>
      <c r="F26" s="88">
        <f>ROUND(E26*1.15,0)</f>
        <v>118</v>
      </c>
    </row>
    <row r="27" spans="1:6">
      <c r="A27" s="9"/>
      <c r="B27" s="11"/>
      <c r="C27" s="9"/>
      <c r="D27" s="9"/>
      <c r="E27" s="9"/>
      <c r="F27" s="9"/>
    </row>
    <row r="28" spans="1:6">
      <c r="A28" s="14" t="s">
        <v>184</v>
      </c>
      <c r="B28" s="9"/>
      <c r="C28" s="9"/>
      <c r="D28" s="12"/>
      <c r="E28" s="12">
        <f>SUM(E2:E27)</f>
        <v>9119</v>
      </c>
      <c r="F28" s="12">
        <f>SUM(F2:F27)</f>
        <v>10487</v>
      </c>
    </row>
  </sheetData>
  <customSheetViews>
    <customSheetView guid="{E62C39C8-EAA6-407C-933E-B5BB52ED1B14}" fitToPage="1">
      <selection activeCell="N19" sqref="N19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7" fitToHeight="0" orientation="portrait" r:id="rId2"/>
  <headerFooter>
    <oddFooter>&amp;L&amp;"-,Bold"Waimakariri District Council&amp;C&amp;D&amp;RPage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G31"/>
  <sheetViews>
    <sheetView workbookViewId="0">
      <selection activeCell="P20" sqref="P20"/>
    </sheetView>
  </sheetViews>
  <sheetFormatPr defaultRowHeight="15"/>
  <cols>
    <col min="1" max="1" width="40.28515625" bestFit="1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45</v>
      </c>
    </row>
    <row r="3" spans="1:7">
      <c r="A3" s="1" t="str">
        <f>'Cust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 t="s">
        <v>4</v>
      </c>
      <c r="B5" s="9"/>
      <c r="C5" s="11"/>
      <c r="D5" s="11"/>
      <c r="E5" s="12"/>
      <c r="F5" s="12"/>
    </row>
    <row r="6" spans="1:7">
      <c r="A6" s="39" t="s">
        <v>3</v>
      </c>
      <c r="B6" s="9"/>
      <c r="C6" s="9"/>
      <c r="D6" s="9"/>
      <c r="E6" s="9"/>
      <c r="F6" s="9"/>
    </row>
    <row r="7" spans="1:7">
      <c r="A7" s="9" t="s">
        <v>385</v>
      </c>
      <c r="B7" s="54">
        <v>35000</v>
      </c>
      <c r="C7" s="41"/>
      <c r="D7" s="41"/>
      <c r="E7" s="41"/>
      <c r="F7" s="41"/>
    </row>
    <row r="8" spans="1:7">
      <c r="A8" s="9" t="s">
        <v>386</v>
      </c>
      <c r="B8" s="54">
        <v>421000</v>
      </c>
      <c r="C8" s="41"/>
      <c r="D8" s="41"/>
      <c r="E8" s="41"/>
      <c r="F8" s="41"/>
    </row>
    <row r="9" spans="1:7">
      <c r="A9" s="9"/>
      <c r="B9" s="11">
        <f>SUM(B7:B8)</f>
        <v>456000</v>
      </c>
      <c r="C9" s="54">
        <f>B9</f>
        <v>456000</v>
      </c>
      <c r="D9" s="11">
        <v>141</v>
      </c>
      <c r="E9" s="88">
        <f>ROUND(B9/D9,0)</f>
        <v>3234</v>
      </c>
      <c r="F9" s="88">
        <f>ROUND(E9*1.15,0)</f>
        <v>3719</v>
      </c>
    </row>
    <row r="10" spans="1:7">
      <c r="A10" s="39" t="s">
        <v>347</v>
      </c>
      <c r="B10" s="41"/>
      <c r="C10" s="41"/>
      <c r="D10" s="41"/>
      <c r="E10" s="41"/>
      <c r="F10" s="41"/>
    </row>
    <row r="11" spans="1:7">
      <c r="A11" s="9" t="s">
        <v>348</v>
      </c>
      <c r="B11" s="11">
        <v>256016</v>
      </c>
      <c r="C11" s="41"/>
      <c r="D11" s="41"/>
      <c r="E11" s="41"/>
      <c r="F11" s="41"/>
    </row>
    <row r="12" spans="1:7">
      <c r="A12" s="9" t="s">
        <v>349</v>
      </c>
      <c r="B12" s="11">
        <v>46982</v>
      </c>
      <c r="C12" s="41"/>
      <c r="D12" s="41"/>
      <c r="E12" s="41"/>
      <c r="F12" s="41"/>
    </row>
    <row r="13" spans="1:7">
      <c r="A13" s="9"/>
      <c r="B13" s="54">
        <f>SUM(B11:B12)</f>
        <v>302998</v>
      </c>
      <c r="C13" s="54">
        <f>B13</f>
        <v>302998</v>
      </c>
      <c r="D13" s="11">
        <v>141</v>
      </c>
      <c r="E13" s="88">
        <f>ROUND(B13/D13,0)</f>
        <v>2149</v>
      </c>
      <c r="F13" s="88">
        <f>ROUND(E13*1.15,0)</f>
        <v>2471</v>
      </c>
      <c r="G13" s="79"/>
    </row>
    <row r="14" spans="1:7">
      <c r="A14" s="9"/>
      <c r="B14" s="41"/>
      <c r="C14" s="41"/>
      <c r="D14" s="41"/>
      <c r="E14" s="41"/>
      <c r="F14" s="41"/>
    </row>
    <row r="15" spans="1:7">
      <c r="A15" s="14" t="s">
        <v>6</v>
      </c>
      <c r="B15" s="41"/>
      <c r="C15" s="41"/>
      <c r="D15" s="41"/>
      <c r="E15" s="41"/>
      <c r="F15" s="41"/>
    </row>
    <row r="16" spans="1:7">
      <c r="A16" s="39" t="s">
        <v>3</v>
      </c>
      <c r="B16" s="41"/>
      <c r="C16" s="41"/>
      <c r="D16" s="41"/>
      <c r="E16" s="41"/>
      <c r="F16" s="41"/>
    </row>
    <row r="17" spans="1:7">
      <c r="A17" s="9" t="s">
        <v>272</v>
      </c>
      <c r="B17" s="11">
        <v>600000</v>
      </c>
      <c r="C17" s="41"/>
      <c r="D17" s="41"/>
      <c r="E17" s="41"/>
      <c r="F17" s="41"/>
    </row>
    <row r="18" spans="1:7">
      <c r="A18" s="9"/>
      <c r="B18" s="54">
        <f>SUM(B17:B17)</f>
        <v>600000</v>
      </c>
      <c r="C18" s="54">
        <f>ROUND($D$9/D18*B18,0)</f>
        <v>43032</v>
      </c>
      <c r="D18" s="11">
        <v>1966</v>
      </c>
      <c r="E18" s="88">
        <f>ROUND(B18/D18,0)</f>
        <v>305</v>
      </c>
      <c r="F18" s="88">
        <f>ROUND(E18*1.15,0)</f>
        <v>351</v>
      </c>
    </row>
    <row r="19" spans="1:7">
      <c r="A19" s="39" t="s">
        <v>347</v>
      </c>
      <c r="B19" s="41"/>
      <c r="C19" s="41"/>
      <c r="D19" s="41"/>
      <c r="E19" s="41"/>
      <c r="F19" s="41"/>
    </row>
    <row r="20" spans="1:7">
      <c r="A20" s="9" t="s">
        <v>155</v>
      </c>
      <c r="B20" s="11">
        <v>87098</v>
      </c>
      <c r="C20" s="41"/>
      <c r="D20" s="41"/>
      <c r="E20" s="41"/>
      <c r="F20" s="41"/>
    </row>
    <row r="21" spans="1:7">
      <c r="A21" s="9" t="s">
        <v>46</v>
      </c>
      <c r="B21" s="11">
        <v>41022</v>
      </c>
      <c r="C21" s="41"/>
      <c r="D21" s="41"/>
      <c r="E21" s="41"/>
      <c r="F21" s="41"/>
      <c r="G21" s="79"/>
    </row>
    <row r="22" spans="1:7">
      <c r="A22" s="9" t="s">
        <v>154</v>
      </c>
      <c r="B22" s="11">
        <v>81933</v>
      </c>
      <c r="C22" s="41"/>
      <c r="D22" s="41"/>
      <c r="E22" s="41"/>
      <c r="F22" s="41"/>
    </row>
    <row r="23" spans="1:7">
      <c r="A23" s="9"/>
      <c r="B23" s="54">
        <f>SUM(B20:B22)</f>
        <v>210053</v>
      </c>
      <c r="C23" s="54">
        <f>ROUND($D$9/D23*B23,0)</f>
        <v>16611</v>
      </c>
      <c r="D23" s="11">
        <v>1783</v>
      </c>
      <c r="E23" s="88">
        <f>ROUND(B23/D23,0)</f>
        <v>118</v>
      </c>
      <c r="F23" s="88">
        <f>ROUND(E23*1.15,0)</f>
        <v>136</v>
      </c>
    </row>
    <row r="24" spans="1:7">
      <c r="A24" s="9"/>
      <c r="B24" s="54"/>
      <c r="C24" s="54"/>
      <c r="D24" s="11"/>
      <c r="E24" s="88"/>
      <c r="F24" s="88"/>
    </row>
    <row r="25" spans="1:7">
      <c r="A25" s="9" t="s">
        <v>47</v>
      </c>
      <c r="B25" s="11">
        <v>2575676</v>
      </c>
      <c r="C25" s="41"/>
      <c r="D25" s="41"/>
      <c r="E25" s="41"/>
      <c r="F25" s="41"/>
      <c r="G25" s="79"/>
    </row>
    <row r="26" spans="1:7">
      <c r="A26" s="9" t="s">
        <v>47</v>
      </c>
      <c r="B26" s="11">
        <v>158846</v>
      </c>
      <c r="C26" s="41"/>
      <c r="D26" s="41"/>
      <c r="E26" s="41"/>
      <c r="F26" s="41"/>
    </row>
    <row r="27" spans="1:7">
      <c r="A27" s="9"/>
      <c r="B27" s="54">
        <f>SUM(B25:B26)</f>
        <v>2734522</v>
      </c>
      <c r="C27" s="54">
        <f>ROUND($D$9/D27*B27,0)</f>
        <v>196118</v>
      </c>
      <c r="D27" s="11">
        <v>1966</v>
      </c>
      <c r="E27" s="88">
        <f>ROUND(B27/D27,0)</f>
        <v>1391</v>
      </c>
      <c r="F27" s="88">
        <f>ROUND(E27*1.15,0)</f>
        <v>1600</v>
      </c>
    </row>
    <row r="28" spans="1:7">
      <c r="A28" s="9"/>
      <c r="B28" s="11"/>
      <c r="C28" s="9"/>
      <c r="D28" s="9"/>
      <c r="E28" s="9"/>
      <c r="F28" s="9"/>
    </row>
    <row r="29" spans="1:7">
      <c r="A29" s="14" t="s">
        <v>188</v>
      </c>
      <c r="B29" s="9"/>
      <c r="C29" s="9"/>
      <c r="D29" s="9"/>
      <c r="E29" s="12">
        <f>SUM(E6:E28)</f>
        <v>7197</v>
      </c>
      <c r="F29" s="12">
        <f>SUM(F6:F28)</f>
        <v>8277</v>
      </c>
    </row>
    <row r="31" spans="1:7">
      <c r="E31" s="4"/>
    </row>
  </sheetData>
  <customSheetViews>
    <customSheetView guid="{E62C39C8-EAA6-407C-933E-B5BB52ED1B14}" fitToPage="1" topLeftCell="A10">
      <selection activeCell="L24" sqref="L24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7" fitToHeight="0" orientation="portrait" r:id="rId2"/>
  <headerFooter>
    <oddFooter>&amp;L&amp;"-,Bold"Waimakariri District Council&amp;C&amp;D&amp;RPage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  <pageSetUpPr fitToPage="1"/>
  </sheetPr>
  <dimension ref="A1:G31"/>
  <sheetViews>
    <sheetView workbookViewId="0">
      <selection activeCell="B28" sqref="B28"/>
    </sheetView>
  </sheetViews>
  <sheetFormatPr defaultRowHeight="15"/>
  <cols>
    <col min="1" max="1" width="59" customWidth="1"/>
    <col min="2" max="2" width="13.710937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51" customWidth="1"/>
  </cols>
  <sheetData>
    <row r="1" spans="1:7">
      <c r="A1" s="1" t="s">
        <v>0</v>
      </c>
    </row>
    <row r="2" spans="1:7">
      <c r="A2" s="1" t="s">
        <v>48</v>
      </c>
    </row>
    <row r="3" spans="1:7">
      <c r="A3" s="1" t="str">
        <f>'Cust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  <c r="G4" s="43"/>
    </row>
    <row r="5" spans="1:7">
      <c r="A5" s="14" t="s">
        <v>4</v>
      </c>
      <c r="B5" s="9"/>
      <c r="C5" s="11"/>
      <c r="D5" s="11"/>
      <c r="E5" s="12"/>
      <c r="F5" s="12"/>
      <c r="G5" s="4"/>
    </row>
    <row r="6" spans="1:7">
      <c r="A6" s="39" t="s">
        <v>3</v>
      </c>
      <c r="B6" s="9"/>
      <c r="C6" s="9"/>
      <c r="D6" s="9"/>
      <c r="E6" s="9"/>
      <c r="F6" s="9"/>
    </row>
    <row r="7" spans="1:7">
      <c r="A7" s="9" t="s">
        <v>486</v>
      </c>
      <c r="B7" s="117">
        <v>105000</v>
      </c>
      <c r="C7" s="117">
        <v>105000</v>
      </c>
      <c r="D7" s="9"/>
      <c r="E7" s="9"/>
      <c r="F7" s="9"/>
    </row>
    <row r="8" spans="1:7">
      <c r="A8" s="9" t="s">
        <v>332</v>
      </c>
      <c r="B8" s="54">
        <v>204000</v>
      </c>
      <c r="C8" s="54">
        <f>B8</f>
        <v>204000</v>
      </c>
      <c r="D8" s="41"/>
      <c r="E8" s="41"/>
      <c r="F8" s="41"/>
    </row>
    <row r="9" spans="1:7">
      <c r="A9" s="9" t="s">
        <v>156</v>
      </c>
      <c r="B9" s="54">
        <v>166000</v>
      </c>
      <c r="C9" s="54">
        <f>B9</f>
        <v>166000</v>
      </c>
      <c r="D9" s="41"/>
      <c r="E9" s="41"/>
      <c r="F9" s="41"/>
    </row>
    <row r="10" spans="1:7">
      <c r="A10" s="9" t="s">
        <v>273</v>
      </c>
      <c r="B10" s="54">
        <v>60000</v>
      </c>
      <c r="C10" s="54">
        <f>B10</f>
        <v>60000</v>
      </c>
      <c r="D10" s="41"/>
      <c r="E10" s="41"/>
      <c r="F10" s="41"/>
    </row>
    <row r="11" spans="1:7">
      <c r="A11" s="9" t="s">
        <v>299</v>
      </c>
      <c r="B11" s="54">
        <v>80000</v>
      </c>
      <c r="C11" s="54">
        <f>B11</f>
        <v>80000</v>
      </c>
      <c r="D11" s="41"/>
      <c r="E11" s="41"/>
      <c r="F11" s="41"/>
    </row>
    <row r="12" spans="1:7">
      <c r="A12" s="9" t="s">
        <v>387</v>
      </c>
      <c r="B12" s="54">
        <v>17000</v>
      </c>
      <c r="C12" s="54">
        <f t="shared" ref="C12:C13" si="0">B12</f>
        <v>17000</v>
      </c>
      <c r="D12" s="41"/>
      <c r="E12" s="41"/>
      <c r="F12" s="41"/>
    </row>
    <row r="13" spans="1:7">
      <c r="A13" s="9" t="s">
        <v>388</v>
      </c>
      <c r="B13" s="118">
        <v>207000</v>
      </c>
      <c r="C13" s="54">
        <f t="shared" si="0"/>
        <v>207000</v>
      </c>
      <c r="D13" s="41"/>
      <c r="E13" s="41"/>
      <c r="F13" s="41"/>
    </row>
    <row r="14" spans="1:7">
      <c r="A14" s="9"/>
      <c r="B14" s="11">
        <f>SUM(B7:B13)</f>
        <v>839000</v>
      </c>
      <c r="C14" s="54">
        <f>SUM(C7:C13)</f>
        <v>839000</v>
      </c>
      <c r="D14" s="11">
        <v>200</v>
      </c>
      <c r="E14" s="88">
        <f>ROUND(C14/D14,0)</f>
        <v>4195</v>
      </c>
      <c r="F14" s="88">
        <f>ROUND(E14*1.15,0)</f>
        <v>4824</v>
      </c>
      <c r="G14" s="4"/>
    </row>
    <row r="15" spans="1:7">
      <c r="A15" s="9"/>
      <c r="B15" s="11"/>
      <c r="C15" s="54"/>
      <c r="D15" s="11"/>
      <c r="E15" s="88"/>
      <c r="F15" s="88"/>
      <c r="G15" s="4"/>
    </row>
    <row r="16" spans="1:7">
      <c r="A16" s="39" t="s">
        <v>2</v>
      </c>
      <c r="B16" s="11"/>
      <c r="C16" s="54"/>
      <c r="D16" s="11"/>
      <c r="E16" s="88"/>
      <c r="F16" s="88"/>
      <c r="G16" s="4"/>
    </row>
    <row r="17" spans="1:7">
      <c r="A17" s="41" t="s">
        <v>333</v>
      </c>
      <c r="B17" s="54">
        <v>310308</v>
      </c>
      <c r="C17" s="54">
        <f>B17</f>
        <v>310308</v>
      </c>
      <c r="D17" s="11">
        <v>200</v>
      </c>
      <c r="E17" s="88">
        <f>ROUND(C17/D17,0)</f>
        <v>1552</v>
      </c>
      <c r="F17" s="88">
        <f>ROUND(E17*1.15,0)</f>
        <v>1785</v>
      </c>
    </row>
    <row r="18" spans="1:7">
      <c r="A18" s="41"/>
      <c r="B18" s="41"/>
      <c r="C18" s="41"/>
      <c r="D18" s="41"/>
      <c r="E18" s="41"/>
      <c r="F18" s="41"/>
    </row>
    <row r="19" spans="1:7">
      <c r="A19" s="42" t="s">
        <v>6</v>
      </c>
      <c r="B19" s="41"/>
      <c r="C19" s="41"/>
      <c r="D19" s="41"/>
      <c r="E19" s="41"/>
      <c r="F19" s="41"/>
    </row>
    <row r="20" spans="1:7">
      <c r="A20" s="39" t="s">
        <v>3</v>
      </c>
      <c r="B20" s="41"/>
      <c r="C20" s="41"/>
      <c r="D20" s="41"/>
      <c r="E20" s="41"/>
      <c r="F20" s="41"/>
    </row>
    <row r="21" spans="1:7">
      <c r="A21" s="9" t="s">
        <v>389</v>
      </c>
      <c r="B21" s="54">
        <v>150000</v>
      </c>
      <c r="C21" s="41"/>
      <c r="D21" s="41"/>
      <c r="E21" s="41"/>
      <c r="F21" s="41"/>
    </row>
    <row r="22" spans="1:7">
      <c r="A22" s="9"/>
      <c r="B22" s="54">
        <f>SUM(B21:B21)</f>
        <v>150000</v>
      </c>
      <c r="C22" s="54">
        <f>ROUND($D$14/D22*B22,0)</f>
        <v>19048</v>
      </c>
      <c r="D22" s="11">
        <v>1575</v>
      </c>
      <c r="E22" s="88">
        <f>ROUND(B22/D22,0)</f>
        <v>95</v>
      </c>
      <c r="F22" s="88">
        <f>ROUND(E22*1.15,0)</f>
        <v>109</v>
      </c>
      <c r="G22" s="4"/>
    </row>
    <row r="23" spans="1:7">
      <c r="A23" s="39" t="s">
        <v>7</v>
      </c>
      <c r="B23" s="41"/>
      <c r="C23" s="41"/>
      <c r="D23" s="41"/>
      <c r="E23" s="41"/>
      <c r="F23" s="41"/>
    </row>
    <row r="24" spans="1:7">
      <c r="A24" s="9"/>
      <c r="B24" s="11"/>
      <c r="C24" s="41"/>
      <c r="D24" s="41"/>
      <c r="E24" s="41"/>
      <c r="F24" s="41"/>
      <c r="G24" s="79"/>
    </row>
    <row r="25" spans="1:7">
      <c r="A25" s="9"/>
      <c r="B25" s="11">
        <f>SUM(B24)</f>
        <v>0</v>
      </c>
      <c r="C25" s="54">
        <f>B24</f>
        <v>0</v>
      </c>
      <c r="D25" s="11"/>
      <c r="E25" s="88"/>
      <c r="F25" s="88"/>
    </row>
    <row r="26" spans="1:7">
      <c r="A26" s="9"/>
      <c r="B26" s="11"/>
      <c r="C26" s="41"/>
      <c r="D26" s="41"/>
      <c r="E26" s="41"/>
      <c r="F26" s="41"/>
    </row>
    <row r="27" spans="1:7">
      <c r="A27" s="9" t="s">
        <v>38</v>
      </c>
      <c r="B27" s="11">
        <v>1986540</v>
      </c>
      <c r="C27" s="41"/>
      <c r="D27" s="41"/>
      <c r="E27" s="41"/>
      <c r="F27" s="41"/>
    </row>
    <row r="28" spans="1:7">
      <c r="A28" s="9"/>
      <c r="B28" s="54">
        <f>SUM(B27:B27)</f>
        <v>1986540</v>
      </c>
      <c r="C28" s="116">
        <f>ROUND(D14/D28*B28,0)</f>
        <v>252259</v>
      </c>
      <c r="D28" s="11">
        <v>1575</v>
      </c>
      <c r="E28" s="88">
        <f>ROUND(B28/D28,0)</f>
        <v>1261</v>
      </c>
      <c r="F28" s="88">
        <f>ROUND(E28*1.15,0)</f>
        <v>1450</v>
      </c>
      <c r="G28" s="4"/>
    </row>
    <row r="29" spans="1:7">
      <c r="A29" s="14" t="s">
        <v>188</v>
      </c>
      <c r="B29" s="11"/>
      <c r="C29" s="9"/>
      <c r="D29" s="9"/>
      <c r="E29" s="12">
        <f>SUM(E6:E28)</f>
        <v>7103</v>
      </c>
      <c r="F29" s="12">
        <f>SUM(F6:F28)</f>
        <v>8168</v>
      </c>
      <c r="G29" s="4"/>
    </row>
    <row r="30" spans="1:7">
      <c r="B30" s="3"/>
    </row>
    <row r="31" spans="1:7">
      <c r="B31" s="4"/>
    </row>
  </sheetData>
  <customSheetViews>
    <customSheetView guid="{E62C39C8-EAA6-407C-933E-B5BB52ED1B14}" fitToPage="1">
      <selection activeCell="I18" sqref="I18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1" fitToHeight="0" orientation="portrait" r:id="rId2"/>
  <headerFooter>
    <oddFooter>&amp;L&amp;"-,Bold"Waimakariri District Council&amp;C&amp;D&amp;RPage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fitToPage="1"/>
  </sheetPr>
  <dimension ref="A1:G19"/>
  <sheetViews>
    <sheetView workbookViewId="0">
      <selection activeCell="G15" sqref="G15"/>
    </sheetView>
  </sheetViews>
  <sheetFormatPr defaultRowHeight="15"/>
  <cols>
    <col min="1" max="1" width="40.28515625" bestFit="1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54.140625" customWidth="1"/>
  </cols>
  <sheetData>
    <row r="1" spans="1:7">
      <c r="A1" s="1" t="s">
        <v>0</v>
      </c>
    </row>
    <row r="2" spans="1:7">
      <c r="A2" s="1" t="s">
        <v>65</v>
      </c>
    </row>
    <row r="3" spans="1:7">
      <c r="A3" s="1" t="str">
        <f>'Cust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  <c r="G4" s="43"/>
    </row>
    <row r="5" spans="1:7">
      <c r="A5" s="14" t="s">
        <v>4</v>
      </c>
      <c r="B5" s="9"/>
      <c r="C5" s="11"/>
      <c r="D5" s="11"/>
      <c r="E5" s="12"/>
      <c r="F5" s="12"/>
      <c r="G5" s="4"/>
    </row>
    <row r="6" spans="1:7">
      <c r="A6" s="39" t="s">
        <v>3</v>
      </c>
      <c r="B6" s="117"/>
      <c r="C6" s="10"/>
      <c r="D6" s="11"/>
      <c r="E6" s="12"/>
      <c r="F6" s="12"/>
    </row>
    <row r="8" spans="1:7">
      <c r="A8" s="9"/>
      <c r="B8" s="54"/>
      <c r="C8" s="54"/>
      <c r="D8" s="11"/>
      <c r="E8" s="88"/>
      <c r="F8" s="88"/>
      <c r="G8" s="4"/>
    </row>
    <row r="9" spans="1:7">
      <c r="A9" s="39" t="s">
        <v>2</v>
      </c>
      <c r="B9" s="41"/>
      <c r="C9" s="41"/>
      <c r="D9" s="41"/>
      <c r="E9" s="41"/>
      <c r="F9" s="41"/>
      <c r="G9" s="4"/>
    </row>
    <row r="10" spans="1:7">
      <c r="A10" s="9" t="s">
        <v>351</v>
      </c>
      <c r="B10" s="45">
        <v>7177</v>
      </c>
      <c r="C10" s="54">
        <f>B10</f>
        <v>7177</v>
      </c>
      <c r="D10" s="11"/>
      <c r="E10" s="88"/>
      <c r="F10" s="88"/>
      <c r="G10" s="4"/>
    </row>
    <row r="11" spans="1:7">
      <c r="A11" s="9" t="s">
        <v>390</v>
      </c>
      <c r="B11" s="54">
        <v>73100</v>
      </c>
      <c r="C11" s="54">
        <f>B11</f>
        <v>73100</v>
      </c>
      <c r="D11" s="9"/>
      <c r="E11" s="9"/>
      <c r="F11" s="9"/>
      <c r="G11" s="4"/>
    </row>
    <row r="12" spans="1:7">
      <c r="A12" s="9"/>
      <c r="B12" s="54"/>
      <c r="C12" s="54">
        <f>SUM(C10:C11)</f>
        <v>80277</v>
      </c>
      <c r="D12" s="11">
        <v>34</v>
      </c>
      <c r="E12" s="88">
        <f>ROUND(C12/D12,0)</f>
        <v>2361</v>
      </c>
      <c r="F12" s="88">
        <f>ROUND(E12*1.15,0)</f>
        <v>2715</v>
      </c>
      <c r="G12" s="4"/>
    </row>
    <row r="13" spans="1:7">
      <c r="A13" s="14" t="s">
        <v>157</v>
      </c>
      <c r="B13" s="41"/>
      <c r="C13" s="11"/>
      <c r="D13" s="11"/>
      <c r="E13" s="88"/>
      <c r="F13" s="88"/>
      <c r="G13" s="4"/>
    </row>
    <row r="14" spans="1:7">
      <c r="A14" s="39" t="s">
        <v>3</v>
      </c>
      <c r="B14" s="41"/>
      <c r="C14" s="41"/>
      <c r="D14" s="41"/>
      <c r="E14" s="41"/>
      <c r="F14" s="41"/>
    </row>
    <row r="15" spans="1:7">
      <c r="A15" s="9"/>
      <c r="B15" s="54"/>
      <c r="C15" s="94"/>
      <c r="D15" s="11"/>
      <c r="E15" s="88"/>
      <c r="F15" s="88"/>
      <c r="G15" s="79"/>
    </row>
    <row r="16" spans="1:7">
      <c r="A16" s="9"/>
      <c r="B16" s="54"/>
      <c r="C16" s="94"/>
      <c r="D16" s="11"/>
      <c r="E16" s="88"/>
      <c r="F16" s="88"/>
      <c r="G16" s="6"/>
    </row>
    <row r="17" spans="1:7">
      <c r="A17" s="14" t="s">
        <v>188</v>
      </c>
      <c r="B17" s="11"/>
      <c r="C17" s="41"/>
      <c r="D17" s="41"/>
      <c r="E17" s="88">
        <f>SUM(E8:E16)</f>
        <v>2361</v>
      </c>
      <c r="F17" s="88">
        <f>SUM(F8:F16)</f>
        <v>2715</v>
      </c>
      <c r="G17" s="4"/>
    </row>
    <row r="18" spans="1:7">
      <c r="B18" s="3"/>
    </row>
    <row r="19" spans="1:7">
      <c r="B19" s="4"/>
    </row>
  </sheetData>
  <customSheetViews>
    <customSheetView guid="{E62C39C8-EAA6-407C-933E-B5BB52ED1B14}" fitToPage="1">
      <selection activeCell="A23" sqref="A23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1" fitToHeight="0" orientation="portrait" r:id="rId2"/>
  <headerFooter>
    <oddFooter>&amp;L&amp;"-,Bold"Waimakariri District Council&amp;C&amp;D&amp;RPage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  <pageSetUpPr fitToPage="1"/>
  </sheetPr>
  <dimension ref="A1:I49"/>
  <sheetViews>
    <sheetView topLeftCell="A14" workbookViewId="0">
      <selection activeCell="I40" sqref="I40"/>
    </sheetView>
  </sheetViews>
  <sheetFormatPr defaultRowHeight="15"/>
  <cols>
    <col min="1" max="1" width="72" bestFit="1" customWidth="1"/>
    <col min="2" max="2" width="13.7109375" bestFit="1" customWidth="1"/>
    <col min="3" max="3" width="13.7109375" customWidth="1"/>
    <col min="4" max="4" width="12.7109375" customWidth="1"/>
    <col min="5" max="5" width="13.7109375" customWidth="1"/>
    <col min="6" max="6" width="13.140625" customWidth="1"/>
    <col min="9" max="9" width="10.5703125" bestFit="1" customWidth="1"/>
  </cols>
  <sheetData>
    <row r="1" spans="1:6">
      <c r="A1" s="1" t="s">
        <v>0</v>
      </c>
    </row>
    <row r="2" spans="1:6">
      <c r="A2" s="1" t="s">
        <v>1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393</v>
      </c>
      <c r="B6" s="9"/>
      <c r="C6" s="9"/>
      <c r="D6" s="9"/>
      <c r="E6" s="9"/>
      <c r="F6" s="9"/>
    </row>
    <row r="7" spans="1:6">
      <c r="A7" s="39" t="s">
        <v>3</v>
      </c>
      <c r="C7" s="9"/>
      <c r="D7" s="9"/>
      <c r="E7" s="9"/>
      <c r="F7" s="9"/>
    </row>
    <row r="8" spans="1:6">
      <c r="A8" s="41" t="s">
        <v>391</v>
      </c>
      <c r="B8" s="11">
        <v>600000</v>
      </c>
      <c r="C8" s="9"/>
      <c r="D8" s="9"/>
      <c r="E8" s="9"/>
      <c r="F8" s="9"/>
    </row>
    <row r="9" spans="1:6">
      <c r="A9" s="41" t="s">
        <v>511</v>
      </c>
      <c r="B9" s="11">
        <v>600000</v>
      </c>
      <c r="C9" s="9"/>
      <c r="D9" s="9"/>
      <c r="E9" s="9"/>
      <c r="F9" s="9"/>
    </row>
    <row r="10" spans="1:6">
      <c r="A10" s="39"/>
      <c r="B10" s="10">
        <f>SUM(B8:B9)</f>
        <v>1200000</v>
      </c>
      <c r="C10" s="10">
        <f>B10</f>
        <v>1200000</v>
      </c>
      <c r="D10" s="11">
        <v>2058</v>
      </c>
      <c r="E10" s="12">
        <f>ROUND(B10/D10,0)</f>
        <v>583</v>
      </c>
      <c r="F10" s="12">
        <f>ROUND(E10*1.15,0)</f>
        <v>670</v>
      </c>
    </row>
    <row r="11" spans="1:6">
      <c r="A11" s="39"/>
      <c r="B11" s="10"/>
      <c r="C11" s="10"/>
      <c r="D11" s="11"/>
      <c r="E11" s="12"/>
      <c r="F11" s="12"/>
    </row>
    <row r="12" spans="1:6">
      <c r="A12" s="39" t="s">
        <v>2</v>
      </c>
      <c r="B12" s="32"/>
      <c r="C12" s="9"/>
      <c r="D12" s="9"/>
      <c r="E12" s="9"/>
      <c r="F12" s="9"/>
    </row>
    <row r="13" spans="1:6">
      <c r="A13" s="41" t="s">
        <v>352</v>
      </c>
      <c r="B13" s="54">
        <v>27581423</v>
      </c>
      <c r="C13" s="41"/>
      <c r="D13" s="41"/>
      <c r="E13" s="41"/>
      <c r="F13" s="41"/>
    </row>
    <row r="14" spans="1:6">
      <c r="A14" s="9"/>
      <c r="B14" s="54">
        <f>SUM(B13:B13)</f>
        <v>27581423</v>
      </c>
      <c r="C14" s="54">
        <f>ROUND(D34/D14*B14,0)</f>
        <v>4334013</v>
      </c>
      <c r="D14" s="11">
        <v>13097</v>
      </c>
      <c r="E14" s="88">
        <f>ROUND(B14/D14,0)</f>
        <v>2106</v>
      </c>
      <c r="F14" s="88">
        <f>ROUND(E14*1.15,0)</f>
        <v>2422</v>
      </c>
    </row>
    <row r="15" spans="1:6">
      <c r="A15" s="9"/>
      <c r="B15" s="54"/>
      <c r="C15" s="54"/>
      <c r="D15" s="11"/>
      <c r="E15" s="88"/>
      <c r="F15" s="88"/>
    </row>
    <row r="16" spans="1:6">
      <c r="A16" s="9"/>
      <c r="B16" s="41"/>
      <c r="C16" s="41"/>
      <c r="D16" s="41"/>
      <c r="E16" s="41"/>
      <c r="F16" s="41"/>
    </row>
    <row r="17" spans="1:9">
      <c r="A17" s="14" t="s">
        <v>4</v>
      </c>
      <c r="B17" s="41"/>
      <c r="C17" s="41"/>
      <c r="D17" s="41"/>
      <c r="E17" s="41"/>
      <c r="F17" s="41"/>
    </row>
    <row r="18" spans="1:9">
      <c r="A18" s="39" t="s">
        <v>3</v>
      </c>
      <c r="B18" s="41"/>
      <c r="C18" s="41"/>
      <c r="D18" s="41"/>
      <c r="E18" s="41"/>
      <c r="F18" s="41"/>
    </row>
    <row r="19" spans="1:9">
      <c r="A19" s="72" t="s">
        <v>275</v>
      </c>
      <c r="B19" s="54">
        <v>50000</v>
      </c>
      <c r="C19" s="119"/>
      <c r="D19" s="41"/>
      <c r="E19" s="41"/>
      <c r="F19" s="41"/>
    </row>
    <row r="20" spans="1:9">
      <c r="A20" s="72" t="s">
        <v>357</v>
      </c>
      <c r="B20" s="54">
        <v>3100000</v>
      </c>
      <c r="C20" s="119"/>
      <c r="D20" s="41"/>
      <c r="E20" s="41"/>
      <c r="F20" s="41"/>
    </row>
    <row r="21" spans="1:9">
      <c r="A21" s="72" t="s">
        <v>392</v>
      </c>
      <c r="B21" s="54">
        <v>50000</v>
      </c>
      <c r="C21" s="119"/>
      <c r="D21" s="41"/>
      <c r="E21" s="41"/>
      <c r="F21" s="41"/>
    </row>
    <row r="22" spans="1:9">
      <c r="A22" s="72"/>
      <c r="B22" s="54"/>
      <c r="C22" s="119"/>
      <c r="D22" s="41"/>
      <c r="E22" s="41"/>
      <c r="F22" s="41"/>
    </row>
    <row r="23" spans="1:9">
      <c r="A23" s="16"/>
      <c r="B23" s="11">
        <f>SUM(B18:B22)</f>
        <v>3200000</v>
      </c>
      <c r="C23" s="54">
        <f>B23</f>
        <v>3200000</v>
      </c>
      <c r="D23" s="11">
        <v>2058</v>
      </c>
      <c r="E23" s="88">
        <f>ROUND(B23/D23,0)</f>
        <v>1555</v>
      </c>
      <c r="F23" s="88">
        <f>ROUND(E23*1.15,0)</f>
        <v>1788</v>
      </c>
    </row>
    <row r="24" spans="1:9">
      <c r="A24" s="16"/>
      <c r="B24" s="54"/>
      <c r="C24" s="119"/>
      <c r="D24" s="41"/>
      <c r="E24" s="41"/>
      <c r="F24" s="41"/>
    </row>
    <row r="25" spans="1:9">
      <c r="A25" s="39" t="s">
        <v>7</v>
      </c>
      <c r="B25" s="41"/>
      <c r="C25" s="41"/>
      <c r="D25" s="41"/>
      <c r="E25" s="41"/>
      <c r="F25" s="41"/>
    </row>
    <row r="26" spans="1:9" ht="30">
      <c r="A26" s="16" t="s">
        <v>246</v>
      </c>
      <c r="B26" s="93">
        <v>850590</v>
      </c>
      <c r="C26" s="119"/>
      <c r="D26" s="41"/>
      <c r="E26" s="41"/>
      <c r="F26" s="41"/>
    </row>
    <row r="27" spans="1:9">
      <c r="A27" s="41" t="s">
        <v>274</v>
      </c>
      <c r="B27" s="93">
        <v>545254</v>
      </c>
      <c r="C27" s="119"/>
      <c r="D27" s="41"/>
      <c r="E27" s="41"/>
      <c r="F27" s="41"/>
    </row>
    <row r="28" spans="1:9">
      <c r="A28" s="16" t="s">
        <v>165</v>
      </c>
      <c r="B28" s="93">
        <v>0</v>
      </c>
      <c r="C28" s="119"/>
      <c r="D28" s="41"/>
      <c r="E28" s="41"/>
      <c r="F28" s="41"/>
    </row>
    <row r="29" spans="1:9">
      <c r="A29" s="9" t="s">
        <v>159</v>
      </c>
      <c r="B29" s="54">
        <v>1690316</v>
      </c>
      <c r="C29" s="119"/>
      <c r="D29" s="41"/>
      <c r="E29" s="41"/>
      <c r="F29" s="41"/>
    </row>
    <row r="30" spans="1:9">
      <c r="A30" s="16" t="s">
        <v>244</v>
      </c>
      <c r="B30" s="93">
        <v>160406</v>
      </c>
      <c r="C30" s="119"/>
      <c r="D30" s="41"/>
      <c r="E30" s="41"/>
      <c r="F30" s="41"/>
    </row>
    <row r="31" spans="1:9">
      <c r="A31" s="16" t="s">
        <v>245</v>
      </c>
      <c r="B31" s="93">
        <v>354442</v>
      </c>
      <c r="C31" s="119"/>
      <c r="D31" s="41"/>
      <c r="E31" s="41"/>
      <c r="F31" s="41"/>
      <c r="H31" s="48"/>
      <c r="I31" s="48"/>
    </row>
    <row r="32" spans="1:9">
      <c r="A32" s="16" t="s">
        <v>166</v>
      </c>
      <c r="B32" s="93">
        <v>340443</v>
      </c>
      <c r="C32" s="119"/>
      <c r="D32" s="41"/>
      <c r="E32" s="41"/>
      <c r="F32" s="41"/>
    </row>
    <row r="33" spans="1:9">
      <c r="A33" s="9" t="s">
        <v>5</v>
      </c>
      <c r="B33" s="93">
        <v>220857</v>
      </c>
      <c r="C33" s="119"/>
      <c r="D33" s="41"/>
      <c r="E33" s="41"/>
      <c r="F33" s="41"/>
    </row>
    <row r="34" spans="1:9">
      <c r="A34" s="9"/>
      <c r="B34" s="11">
        <f>SUM(B26:B33)</f>
        <v>4162308</v>
      </c>
      <c r="C34" s="54">
        <f>B34</f>
        <v>4162308</v>
      </c>
      <c r="D34" s="11">
        <v>2058</v>
      </c>
      <c r="E34" s="88">
        <f>ROUND(B34/D34,0)</f>
        <v>2023</v>
      </c>
      <c r="F34" s="88">
        <f>ROUND(E34*1.15,0)</f>
        <v>2326</v>
      </c>
      <c r="I34" s="2"/>
    </row>
    <row r="35" spans="1:9">
      <c r="A35" s="9"/>
      <c r="B35" s="41"/>
      <c r="C35" s="41"/>
      <c r="D35" s="41"/>
      <c r="E35" s="41"/>
      <c r="F35" s="41"/>
    </row>
    <row r="36" spans="1:9">
      <c r="A36" s="14" t="s">
        <v>6</v>
      </c>
      <c r="B36" s="41"/>
      <c r="C36" s="41"/>
      <c r="D36" s="41"/>
      <c r="E36" s="41"/>
      <c r="F36" s="41"/>
    </row>
    <row r="37" spans="1:9">
      <c r="A37" s="39" t="s">
        <v>3</v>
      </c>
      <c r="B37" s="41"/>
      <c r="C37" s="41"/>
      <c r="D37" s="41"/>
      <c r="E37" s="41"/>
      <c r="F37" s="41"/>
    </row>
    <row r="38" spans="1:9">
      <c r="A38" s="72"/>
      <c r="B38" s="93"/>
      <c r="C38" s="119"/>
      <c r="D38" s="41"/>
      <c r="E38" s="41"/>
      <c r="F38" s="41"/>
    </row>
    <row r="39" spans="1:9">
      <c r="A39" s="9"/>
      <c r="B39" s="54">
        <f>SUM(B38:B38)</f>
        <v>0</v>
      </c>
      <c r="C39" s="54">
        <f>ROUND(D34/D39*B39,0)</f>
        <v>0</v>
      </c>
      <c r="D39" s="11">
        <v>11000</v>
      </c>
      <c r="E39" s="88">
        <f>ROUND(B39/D39,0)</f>
        <v>0</v>
      </c>
      <c r="F39" s="88">
        <f>ROUND(E39*1.15,0)</f>
        <v>0</v>
      </c>
    </row>
    <row r="40" spans="1:9">
      <c r="A40" s="39" t="s">
        <v>7</v>
      </c>
      <c r="B40" s="41"/>
      <c r="C40" s="41"/>
      <c r="D40" s="41"/>
      <c r="E40" s="41"/>
      <c r="F40" s="41"/>
    </row>
    <row r="41" spans="1:9">
      <c r="A41" s="9" t="s">
        <v>278</v>
      </c>
      <c r="B41" s="11">
        <v>518167</v>
      </c>
      <c r="C41" s="41"/>
      <c r="D41" s="41"/>
      <c r="E41" s="41"/>
      <c r="F41" s="41"/>
    </row>
    <row r="42" spans="1:9">
      <c r="A42" s="9" t="s">
        <v>276</v>
      </c>
      <c r="B42" s="93">
        <v>194393</v>
      </c>
      <c r="C42" s="41"/>
      <c r="D42" s="41"/>
      <c r="E42" s="41"/>
      <c r="F42" s="41"/>
    </row>
    <row r="43" spans="1:9">
      <c r="A43" s="9" t="s">
        <v>277</v>
      </c>
      <c r="B43" s="93">
        <v>338160</v>
      </c>
      <c r="C43" s="41"/>
      <c r="D43" s="41"/>
      <c r="E43" s="41"/>
      <c r="F43" s="41"/>
    </row>
    <row r="44" spans="1:9">
      <c r="A44" s="9"/>
      <c r="B44" s="54">
        <f>SUM(B41:B43)</f>
        <v>1050720</v>
      </c>
      <c r="C44" s="54">
        <f>ROUND(D34/D44*B44,0)</f>
        <v>196580</v>
      </c>
      <c r="D44" s="11">
        <v>11000</v>
      </c>
      <c r="E44" s="88">
        <f>ROUND(B44/D44,0)</f>
        <v>96</v>
      </c>
      <c r="F44" s="88">
        <f>ROUND(E44*1.15,0)</f>
        <v>110</v>
      </c>
    </row>
    <row r="45" spans="1:9">
      <c r="A45" s="9"/>
      <c r="B45" s="9"/>
      <c r="C45" s="9"/>
      <c r="D45" s="9"/>
      <c r="E45" s="9"/>
      <c r="F45" s="9"/>
    </row>
    <row r="46" spans="1:9">
      <c r="A46" s="14" t="s">
        <v>184</v>
      </c>
      <c r="B46" s="9"/>
      <c r="C46" s="9"/>
      <c r="D46" s="9"/>
      <c r="E46" s="12">
        <f>SUM(E8:E45)</f>
        <v>6363</v>
      </c>
      <c r="F46" s="12">
        <f>SUM(F8:F45)</f>
        <v>7316</v>
      </c>
    </row>
    <row r="48" spans="1:9">
      <c r="A48" s="6"/>
    </row>
    <row r="49" spans="1:1">
      <c r="A49" s="31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7" orientation="portrait" r:id="rId1"/>
      <headerFooter>
        <oddFooter>&amp;L&amp;"-,Bold"Waimakariri District Council&amp;C&amp;D&amp;RPage &amp;P</oddFooter>
      </headerFooter>
    </customSheetView>
  </customSheetViews>
  <phoneticPr fontId="100" type="noConversion"/>
  <pageMargins left="0.51181102362204722" right="0.51181102362204722" top="0.74803149606299213" bottom="0.74803149606299213" header="0.31496062992125984" footer="0.31496062992125984"/>
  <pageSetup paperSize="9" scale="45" orientation="portrait" r:id="rId2"/>
  <headerFooter>
    <oddFooter>&amp;L&amp;"-,Bold"Waimakariri District Council&amp;C&amp;D&amp;RPage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  <pageSetUpPr fitToPage="1"/>
  </sheetPr>
  <dimension ref="A1:G21"/>
  <sheetViews>
    <sheetView workbookViewId="0">
      <selection activeCell="G27" sqref="G27"/>
    </sheetView>
  </sheetViews>
  <sheetFormatPr defaultRowHeight="15"/>
  <cols>
    <col min="1" max="1" width="40.28515625" bestFit="1" customWidth="1"/>
    <col min="2" max="2" width="11.5703125" bestFit="1" customWidth="1"/>
    <col min="3" max="3" width="13.7109375" customWidth="1"/>
    <col min="4" max="4" width="12.7109375" customWidth="1"/>
    <col min="5" max="5" width="13.7109375" customWidth="1"/>
    <col min="6" max="6" width="13.140625" customWidth="1"/>
    <col min="7" max="7" width="35.5703125" customWidth="1"/>
  </cols>
  <sheetData>
    <row r="1" spans="1:7">
      <c r="A1" s="1" t="s">
        <v>0</v>
      </c>
    </row>
    <row r="2" spans="1:7">
      <c r="A2" s="1" t="s">
        <v>191</v>
      </c>
    </row>
    <row r="3" spans="1:7">
      <c r="A3" s="1" t="str">
        <f>'Cust water'!$A$3</f>
        <v>2023-24 Budget for Annual Plan</v>
      </c>
    </row>
    <row r="5" spans="1:7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7">
      <c r="A6" s="14" t="s">
        <v>4</v>
      </c>
      <c r="B6" s="9"/>
      <c r="C6" s="9"/>
      <c r="D6" s="9"/>
      <c r="E6" s="9"/>
      <c r="F6" s="9"/>
    </row>
    <row r="7" spans="1:7">
      <c r="A7" s="39" t="s">
        <v>7</v>
      </c>
      <c r="B7" s="9"/>
      <c r="C7" s="9"/>
      <c r="D7" s="9"/>
      <c r="E7" s="9"/>
      <c r="F7" s="9"/>
    </row>
    <row r="8" spans="1:7">
      <c r="A8" s="9" t="s">
        <v>100</v>
      </c>
      <c r="B8" s="10">
        <v>87963</v>
      </c>
      <c r="C8" s="120"/>
      <c r="D8" s="9"/>
      <c r="E8" s="9"/>
      <c r="F8" s="9"/>
    </row>
    <row r="9" spans="1:7">
      <c r="A9" s="9"/>
      <c r="B9" s="11">
        <f>SUM(B8:B8)</f>
        <v>87963</v>
      </c>
      <c r="C9" s="10">
        <f>B9</f>
        <v>87963</v>
      </c>
      <c r="D9" s="11">
        <v>683</v>
      </c>
      <c r="E9" s="88">
        <f>ROUND(B9/D9,0)</f>
        <v>129</v>
      </c>
      <c r="F9" s="12">
        <f>ROUND(E9*1.15,0)</f>
        <v>148</v>
      </c>
    </row>
    <row r="10" spans="1:7">
      <c r="A10" s="9"/>
      <c r="B10" s="9"/>
      <c r="C10" s="9"/>
      <c r="D10" s="41"/>
      <c r="E10" s="41"/>
      <c r="F10" s="9"/>
    </row>
    <row r="11" spans="1:7">
      <c r="A11" s="14" t="s">
        <v>184</v>
      </c>
      <c r="B11" s="9"/>
      <c r="C11" s="9"/>
      <c r="D11" s="41"/>
      <c r="E11" s="88">
        <f>SUM(E6:E10)</f>
        <v>129</v>
      </c>
      <c r="F11" s="12">
        <f>SUM(F6:F10)</f>
        <v>148</v>
      </c>
    </row>
    <row r="12" spans="1:7">
      <c r="A12" s="9"/>
      <c r="B12" s="9"/>
      <c r="C12" s="9"/>
      <c r="D12" s="41"/>
      <c r="E12" s="41"/>
      <c r="F12" s="9"/>
    </row>
    <row r="13" spans="1:7">
      <c r="A13" s="14" t="s">
        <v>80</v>
      </c>
      <c r="B13" s="9"/>
      <c r="C13" s="9"/>
      <c r="D13" s="41"/>
      <c r="E13" s="41"/>
      <c r="F13" s="9"/>
    </row>
    <row r="14" spans="1:7">
      <c r="A14" s="9"/>
      <c r="B14" s="9"/>
      <c r="C14" s="9"/>
      <c r="D14" s="41"/>
      <c r="E14" s="41"/>
      <c r="F14" s="9"/>
    </row>
    <row r="15" spans="1:7">
      <c r="A15" s="14" t="s">
        <v>4</v>
      </c>
      <c r="B15" s="9"/>
      <c r="C15" s="9"/>
      <c r="D15" s="41"/>
      <c r="E15" s="41"/>
      <c r="F15" s="9"/>
    </row>
    <row r="16" spans="1:7">
      <c r="A16" s="39" t="s">
        <v>7</v>
      </c>
      <c r="B16" s="10">
        <v>0</v>
      </c>
      <c r="C16" s="9"/>
      <c r="D16" s="41"/>
      <c r="E16" s="41"/>
      <c r="F16" s="9"/>
      <c r="G16" s="79"/>
    </row>
    <row r="17" spans="1:6">
      <c r="A17" s="9"/>
      <c r="B17" s="10"/>
      <c r="C17" s="120"/>
      <c r="D17" s="41"/>
      <c r="E17" s="41"/>
      <c r="F17" s="9"/>
    </row>
    <row r="18" spans="1:6">
      <c r="A18" s="9"/>
      <c r="B18" s="11">
        <f>SUM(B16:B17)</f>
        <v>0</v>
      </c>
      <c r="C18" s="10">
        <f>B18</f>
        <v>0</v>
      </c>
      <c r="D18" s="11">
        <v>315</v>
      </c>
      <c r="E18" s="88">
        <f>ROUND(B18/D18,0)</f>
        <v>0</v>
      </c>
      <c r="F18" s="12">
        <f>ROUND(E18*1.15,0)</f>
        <v>0</v>
      </c>
    </row>
    <row r="19" spans="1:6">
      <c r="A19" s="9"/>
      <c r="B19" s="9"/>
      <c r="C19" s="9"/>
      <c r="D19" s="9"/>
      <c r="E19" s="9"/>
      <c r="F19" s="9"/>
    </row>
    <row r="20" spans="1:6">
      <c r="A20" s="9"/>
      <c r="B20" s="9"/>
      <c r="C20" s="9"/>
      <c r="D20" s="9"/>
      <c r="E20" s="9"/>
      <c r="F20" s="9"/>
    </row>
    <row r="21" spans="1:6">
      <c r="A21" s="14" t="s">
        <v>184</v>
      </c>
      <c r="B21" s="9"/>
      <c r="C21" s="9"/>
      <c r="D21" s="9"/>
      <c r="E21" s="12">
        <f>SUM(E15:E20)</f>
        <v>0</v>
      </c>
      <c r="F21" s="12">
        <f>SUM(F11:F20)</f>
        <v>148</v>
      </c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7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61" orientation="portrait" r:id="rId2"/>
  <headerFooter>
    <oddFooter>&amp;L&amp;"-,Bold"Waimakariri District Council&amp;C&amp;D&amp;RPage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  <pageSetUpPr fitToPage="1"/>
  </sheetPr>
  <dimension ref="A1:F15"/>
  <sheetViews>
    <sheetView workbookViewId="0">
      <selection activeCell="D23" sqref="D23"/>
    </sheetView>
  </sheetViews>
  <sheetFormatPr defaultRowHeight="15"/>
  <cols>
    <col min="1" max="1" width="40.28515625" bestFit="1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192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14" t="s">
        <v>4</v>
      </c>
      <c r="B5" s="9"/>
      <c r="C5" s="9"/>
      <c r="D5" s="9"/>
      <c r="E5" s="9"/>
      <c r="F5" s="9"/>
    </row>
    <row r="6" spans="1:6">
      <c r="A6" s="39" t="s">
        <v>3</v>
      </c>
      <c r="B6" s="41"/>
      <c r="C6" s="41"/>
      <c r="D6" s="41"/>
      <c r="E6" s="41"/>
      <c r="F6" s="41"/>
    </row>
    <row r="7" spans="1:6">
      <c r="A7" s="9" t="s">
        <v>279</v>
      </c>
      <c r="B7" s="54">
        <v>328000</v>
      </c>
      <c r="C7" s="41"/>
      <c r="D7" s="41"/>
      <c r="E7" s="41"/>
      <c r="F7" s="41"/>
    </row>
    <row r="8" spans="1:6">
      <c r="A8" s="9"/>
      <c r="B8" s="11">
        <f>SUM(B3:B7)</f>
        <v>328000</v>
      </c>
      <c r="C8" s="54">
        <f>B8</f>
        <v>328000</v>
      </c>
      <c r="D8" s="11">
        <v>140</v>
      </c>
      <c r="E8" s="88">
        <f>ROUND(B8/D8,0)</f>
        <v>2343</v>
      </c>
      <c r="F8" s="88">
        <f>ROUND(E8*1.15,0)</f>
        <v>2694</v>
      </c>
    </row>
    <row r="9" spans="1:6">
      <c r="A9" s="39" t="s">
        <v>2</v>
      </c>
      <c r="B9" s="41"/>
      <c r="C9" s="41"/>
      <c r="D9" s="41"/>
      <c r="E9" s="41"/>
      <c r="F9" s="41"/>
    </row>
    <row r="10" spans="1:6">
      <c r="A10" s="9" t="s">
        <v>280</v>
      </c>
      <c r="B10" s="54">
        <v>271928</v>
      </c>
      <c r="C10" s="41"/>
      <c r="D10" s="41"/>
      <c r="E10" s="41"/>
      <c r="F10" s="41"/>
    </row>
    <row r="11" spans="1:6">
      <c r="A11" s="9" t="s">
        <v>280</v>
      </c>
      <c r="B11" s="54">
        <v>102221</v>
      </c>
      <c r="C11" s="41"/>
      <c r="D11" s="41"/>
      <c r="E11" s="41"/>
      <c r="F11" s="41"/>
    </row>
    <row r="12" spans="1:6">
      <c r="A12" s="9"/>
      <c r="B12" s="11">
        <f>SUM(B10:B11)</f>
        <v>374149</v>
      </c>
      <c r="C12" s="54">
        <f>B12</f>
        <v>374149</v>
      </c>
      <c r="D12" s="11">
        <v>140</v>
      </c>
      <c r="E12" s="88">
        <f>ROUND(B12/D12,0)</f>
        <v>2672</v>
      </c>
      <c r="F12" s="88">
        <f>ROUND(E12*1.15,0)</f>
        <v>3073</v>
      </c>
    </row>
    <row r="13" spans="1:6">
      <c r="A13" s="9"/>
      <c r="B13" s="41"/>
      <c r="C13" s="41"/>
      <c r="D13" s="41"/>
      <c r="E13" s="41"/>
      <c r="F13" s="41"/>
    </row>
    <row r="14" spans="1:6">
      <c r="A14" s="9"/>
      <c r="B14" s="11"/>
      <c r="C14" s="9"/>
      <c r="D14" s="9"/>
      <c r="E14" s="9"/>
      <c r="F14" s="9"/>
    </row>
    <row r="15" spans="1:6">
      <c r="A15" s="14" t="s">
        <v>184</v>
      </c>
      <c r="B15" s="9"/>
      <c r="C15" s="9"/>
      <c r="D15" s="12"/>
      <c r="E15" s="12">
        <f>SUM(E4:E14)</f>
        <v>5015</v>
      </c>
      <c r="F15" s="12">
        <f>SUM(F4:F14)</f>
        <v>5767</v>
      </c>
    </row>
  </sheetData>
  <customSheetViews>
    <customSheetView guid="{E62C39C8-EAA6-407C-933E-B5BB52ED1B14}" fitToPage="1">
      <selection activeCell="B14" sqref="B14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</customSheetView>
  </customSheetViews>
  <pageMargins left="0.51181102362204722" right="0.51181102362204722" top="0.74803149606299213" bottom="0.74803149606299213" header="0.31496062992125984" footer="0.31496062992125984"/>
  <pageSetup paperSize="9" scale="54" fitToHeight="0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  <pageSetUpPr fitToPage="1"/>
  </sheetPr>
  <dimension ref="A1:G23"/>
  <sheetViews>
    <sheetView workbookViewId="0">
      <selection activeCell="B20" sqref="B20"/>
    </sheetView>
  </sheetViews>
  <sheetFormatPr defaultRowHeight="15"/>
  <cols>
    <col min="1" max="1" width="40.28515625" bestFit="1" customWidth="1"/>
    <col min="2" max="2" width="12.570312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10.140625" customWidth="1"/>
  </cols>
  <sheetData>
    <row r="1" spans="1:7">
      <c r="A1" s="1" t="s">
        <v>0</v>
      </c>
    </row>
    <row r="2" spans="1:7">
      <c r="A2" s="1" t="s">
        <v>193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  <c r="G4" s="43"/>
    </row>
    <row r="5" spans="1:7">
      <c r="A5" s="14" t="s">
        <v>4</v>
      </c>
      <c r="B5" s="9"/>
      <c r="C5" s="9"/>
      <c r="D5" s="9"/>
      <c r="E5" s="9"/>
      <c r="F5" s="9"/>
    </row>
    <row r="6" spans="1:7">
      <c r="A6" s="39" t="s">
        <v>3</v>
      </c>
      <c r="B6" s="41"/>
      <c r="C6" s="41"/>
      <c r="D6" s="41"/>
      <c r="E6" s="41"/>
      <c r="F6" s="41"/>
    </row>
    <row r="7" spans="1:7">
      <c r="A7" s="9" t="s">
        <v>300</v>
      </c>
      <c r="B7" s="54">
        <v>1214000</v>
      </c>
      <c r="C7" s="41"/>
      <c r="D7" s="41"/>
      <c r="E7" s="41"/>
      <c r="F7" s="41"/>
    </row>
    <row r="8" spans="1:7">
      <c r="A8" s="16" t="s">
        <v>459</v>
      </c>
      <c r="B8" s="54">
        <v>61100</v>
      </c>
      <c r="C8" s="41"/>
      <c r="D8" s="41"/>
      <c r="E8" s="41"/>
      <c r="F8" s="41"/>
    </row>
    <row r="9" spans="1:7">
      <c r="A9" s="16" t="s">
        <v>460</v>
      </c>
      <c r="B9" s="54">
        <v>120000</v>
      </c>
      <c r="C9" s="41"/>
      <c r="D9" s="41"/>
      <c r="E9" s="41"/>
      <c r="F9" s="41"/>
    </row>
    <row r="10" spans="1:7">
      <c r="A10" s="16" t="s">
        <v>503</v>
      </c>
      <c r="B10" s="54">
        <v>26000</v>
      </c>
      <c r="C10" s="41"/>
      <c r="D10" s="41"/>
      <c r="E10" s="41"/>
      <c r="F10" s="41"/>
    </row>
    <row r="11" spans="1:7">
      <c r="A11" s="16" t="s">
        <v>504</v>
      </c>
      <c r="B11" s="54">
        <v>67000</v>
      </c>
      <c r="C11" s="41"/>
      <c r="D11" s="41"/>
      <c r="E11" s="41"/>
      <c r="F11" s="41"/>
    </row>
    <row r="12" spans="1:7">
      <c r="A12" s="16" t="s">
        <v>505</v>
      </c>
      <c r="B12" s="54">
        <v>188000</v>
      </c>
      <c r="C12" s="41"/>
      <c r="D12" s="41"/>
      <c r="E12" s="41"/>
      <c r="F12" s="41"/>
    </row>
    <row r="13" spans="1:7">
      <c r="A13" s="16" t="s">
        <v>506</v>
      </c>
      <c r="B13" s="54">
        <v>186000</v>
      </c>
      <c r="C13" s="41"/>
      <c r="D13" s="41"/>
      <c r="E13" s="41"/>
      <c r="F13" s="41"/>
    </row>
    <row r="14" spans="1:7">
      <c r="A14" s="9"/>
      <c r="B14" s="11">
        <f>SUM(B7:B13)</f>
        <v>1862100</v>
      </c>
      <c r="C14" s="54">
        <f>B14</f>
        <v>1862100</v>
      </c>
      <c r="D14" s="11">
        <v>1500</v>
      </c>
      <c r="E14" s="88">
        <f>ROUND(B14/D14,0)</f>
        <v>1241</v>
      </c>
      <c r="F14" s="88">
        <f>ROUND(E14*1.15,0)</f>
        <v>1427</v>
      </c>
      <c r="G14" s="4"/>
    </row>
    <row r="15" spans="1:7">
      <c r="A15" s="9"/>
      <c r="B15" s="11"/>
      <c r="C15" s="54"/>
      <c r="D15" s="11"/>
      <c r="E15" s="88"/>
      <c r="F15" s="88"/>
      <c r="G15" s="4"/>
    </row>
    <row r="16" spans="1:7">
      <c r="A16" s="14" t="s">
        <v>4</v>
      </c>
      <c r="B16" s="11"/>
      <c r="C16" s="54"/>
      <c r="D16" s="11"/>
      <c r="E16" s="88"/>
      <c r="F16" s="88"/>
      <c r="G16" s="4"/>
    </row>
    <row r="17" spans="1:7">
      <c r="A17" s="39" t="s">
        <v>2</v>
      </c>
      <c r="B17" s="11"/>
      <c r="C17" s="54"/>
      <c r="D17" s="11"/>
      <c r="E17" s="88"/>
      <c r="F17" s="88"/>
      <c r="G17" s="4"/>
    </row>
    <row r="18" spans="1:7">
      <c r="A18" s="16" t="s">
        <v>341</v>
      </c>
      <c r="B18" s="93">
        <v>32293</v>
      </c>
      <c r="C18" s="54"/>
      <c r="D18" s="11"/>
      <c r="E18" s="88"/>
      <c r="F18" s="88"/>
      <c r="G18" s="4"/>
    </row>
    <row r="19" spans="1:7" ht="30">
      <c r="A19" s="16" t="s">
        <v>342</v>
      </c>
      <c r="B19" s="93">
        <v>369640</v>
      </c>
      <c r="C19" s="54"/>
      <c r="D19" s="11"/>
      <c r="E19" s="88"/>
      <c r="F19" s="88"/>
      <c r="G19" s="4"/>
    </row>
    <row r="20" spans="1:7" ht="30">
      <c r="A20" s="16" t="s">
        <v>230</v>
      </c>
      <c r="B20" s="93">
        <v>75158</v>
      </c>
      <c r="C20" s="54"/>
      <c r="D20" s="11"/>
      <c r="E20" s="88"/>
      <c r="F20" s="88"/>
      <c r="G20" s="4"/>
    </row>
    <row r="21" spans="1:7">
      <c r="A21" s="9"/>
      <c r="B21" s="54">
        <f>SUM(B18:B20)</f>
        <v>477091</v>
      </c>
      <c r="C21" s="93">
        <f>B21</f>
        <v>477091</v>
      </c>
      <c r="D21" s="24">
        <f>D14</f>
        <v>1500</v>
      </c>
      <c r="E21" s="92">
        <f>ROUND(B21/D21,0)</f>
        <v>318</v>
      </c>
      <c r="F21" s="92">
        <f>ROUND(E21*1.15,0)</f>
        <v>366</v>
      </c>
      <c r="G21" s="47"/>
    </row>
    <row r="22" spans="1:7">
      <c r="A22" s="9"/>
      <c r="B22" s="11"/>
      <c r="C22" s="9"/>
      <c r="D22" s="9"/>
      <c r="E22" s="9"/>
      <c r="F22" s="9"/>
    </row>
    <row r="23" spans="1:7">
      <c r="A23" s="14" t="s">
        <v>184</v>
      </c>
      <c r="B23" s="9"/>
      <c r="C23" s="9"/>
      <c r="D23" s="12"/>
      <c r="E23" s="12">
        <f>SUM(E4:E22)</f>
        <v>1559</v>
      </c>
      <c r="F23" s="12">
        <f>SUM(F4:F22)</f>
        <v>1793</v>
      </c>
      <c r="G23" s="4"/>
    </row>
  </sheetData>
  <customSheetViews>
    <customSheetView guid="{E62C39C8-EAA6-407C-933E-B5BB52ED1B14}" fitToPage="1">
      <selection activeCell="E27" sqref="E27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</customSheetView>
  </customSheetViews>
  <pageMargins left="0.51181102362204722" right="0.51181102362204722" top="0.74803149606299213" bottom="0.74803149606299213" header="0.31496062992125984" footer="0.31496062992125984"/>
  <pageSetup paperSize="9" scale="37" fitToHeight="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59999389629810485"/>
    <pageSetUpPr fitToPage="1"/>
  </sheetPr>
  <dimension ref="A1:F22"/>
  <sheetViews>
    <sheetView workbookViewId="0">
      <selection activeCell="G33" sqref="G33"/>
    </sheetView>
  </sheetViews>
  <sheetFormatPr defaultColWidth="9.140625" defaultRowHeight="15"/>
  <cols>
    <col min="1" max="1" width="40.28515625" bestFit="1" customWidth="1"/>
    <col min="2" max="2" width="11.5703125" bestFit="1" customWidth="1"/>
    <col min="3" max="3" width="13.7109375" customWidth="1"/>
    <col min="4" max="4" width="12.7109375" customWidth="1"/>
    <col min="5" max="5" width="13.7109375" customWidth="1"/>
    <col min="6" max="6" width="13.140625" customWidth="1"/>
    <col min="7" max="7" width="35.5703125" customWidth="1"/>
  </cols>
  <sheetData>
    <row r="1" spans="1:6">
      <c r="A1" s="1" t="s">
        <v>0</v>
      </c>
    </row>
    <row r="2" spans="1:6">
      <c r="A2" s="1" t="s">
        <v>191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4</v>
      </c>
      <c r="B6" s="9"/>
      <c r="C6" s="9"/>
      <c r="D6" s="9"/>
      <c r="E6" s="9"/>
      <c r="F6" s="9"/>
    </row>
    <row r="7" spans="1:6">
      <c r="A7" s="39" t="s">
        <v>394</v>
      </c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 t="s">
        <v>397</v>
      </c>
      <c r="B9" s="10">
        <v>192600</v>
      </c>
      <c r="C9" s="9"/>
      <c r="D9" s="9"/>
      <c r="E9" s="9"/>
      <c r="F9" s="9"/>
    </row>
    <row r="10" spans="1:6">
      <c r="A10" s="9" t="s">
        <v>396</v>
      </c>
      <c r="B10" s="10">
        <v>1794000</v>
      </c>
      <c r="C10" s="9"/>
      <c r="D10" s="9"/>
      <c r="E10" s="9"/>
      <c r="F10" s="9"/>
    </row>
    <row r="11" spans="1:6">
      <c r="A11" s="9" t="s">
        <v>395</v>
      </c>
      <c r="B11" s="10">
        <v>72082</v>
      </c>
      <c r="C11" s="9"/>
      <c r="D11" s="9"/>
      <c r="E11" s="9"/>
      <c r="F11" s="9"/>
    </row>
    <row r="12" spans="1:6">
      <c r="A12" s="9" t="s">
        <v>512</v>
      </c>
      <c r="B12" s="10">
        <v>694200</v>
      </c>
      <c r="C12" s="120"/>
      <c r="D12" s="9"/>
      <c r="E12" s="9"/>
      <c r="F12" s="9"/>
    </row>
    <row r="13" spans="1:6">
      <c r="A13" s="9" t="s">
        <v>513</v>
      </c>
      <c r="B13" s="10">
        <v>41667</v>
      </c>
      <c r="C13" s="9"/>
      <c r="D13" s="9"/>
      <c r="E13" s="9"/>
      <c r="F13" s="9"/>
    </row>
    <row r="14" spans="1:6">
      <c r="A14" s="9" t="s">
        <v>516</v>
      </c>
      <c r="B14" s="10">
        <v>612042</v>
      </c>
      <c r="C14" s="9"/>
      <c r="D14" s="9"/>
      <c r="E14" s="9"/>
      <c r="F14" s="9"/>
    </row>
    <row r="15" spans="1:6">
      <c r="A15" s="9" t="s">
        <v>514</v>
      </c>
      <c r="B15" s="10">
        <v>38481</v>
      </c>
      <c r="C15" s="9"/>
      <c r="D15" s="9"/>
      <c r="E15" s="9"/>
      <c r="F15" s="9"/>
    </row>
    <row r="16" spans="1:6">
      <c r="A16" s="9" t="s">
        <v>515</v>
      </c>
      <c r="B16" s="10">
        <v>55227</v>
      </c>
      <c r="C16" s="9"/>
      <c r="D16" s="9"/>
      <c r="E16" s="9"/>
      <c r="F16" s="9"/>
    </row>
    <row r="17" spans="1:6">
      <c r="A17" s="9" t="s">
        <v>308</v>
      </c>
      <c r="B17" s="10">
        <v>448218</v>
      </c>
      <c r="C17" s="9"/>
      <c r="D17" s="9"/>
      <c r="E17" s="9"/>
      <c r="F17" s="9"/>
    </row>
    <row r="18" spans="1:6">
      <c r="A18" s="9" t="s">
        <v>517</v>
      </c>
      <c r="B18" s="10">
        <v>-1659800</v>
      </c>
      <c r="C18" s="9"/>
      <c r="D18" s="9"/>
      <c r="E18" s="9"/>
      <c r="F18" s="9"/>
    </row>
    <row r="19" spans="1:6">
      <c r="A19" s="9"/>
      <c r="B19" s="10"/>
      <c r="C19" s="9"/>
      <c r="D19" s="9"/>
      <c r="E19" s="9"/>
      <c r="F19" s="9"/>
    </row>
    <row r="20" spans="1:6">
      <c r="A20" s="9"/>
      <c r="B20" s="11">
        <f>SUM(B9:B18)</f>
        <v>2288717</v>
      </c>
      <c r="C20" s="10">
        <f>B20</f>
        <v>2288717</v>
      </c>
      <c r="D20" s="11">
        <v>2614</v>
      </c>
      <c r="E20" s="12">
        <f>ROUND(B20/D20,0)</f>
        <v>876</v>
      </c>
      <c r="F20" s="12">
        <f>ROUND(E20*1.15,0)</f>
        <v>1007</v>
      </c>
    </row>
    <row r="21" spans="1:6">
      <c r="A21" s="9"/>
      <c r="B21" s="9"/>
      <c r="C21" s="9"/>
      <c r="D21" s="9"/>
      <c r="E21" s="9"/>
      <c r="F21" s="9"/>
    </row>
    <row r="22" spans="1:6">
      <c r="A22" s="14" t="s">
        <v>184</v>
      </c>
      <c r="B22" s="9"/>
      <c r="C22" s="9"/>
      <c r="D22" s="9"/>
      <c r="E22" s="12">
        <f>SUM(E20:E21)</f>
        <v>876</v>
      </c>
      <c r="F22" s="12">
        <f>SUM(F20:F21)</f>
        <v>1007</v>
      </c>
    </row>
  </sheetData>
  <pageMargins left="0.51181102362204722" right="0.51181102362204722" top="0.74803149606299213" bottom="0.74803149606299213" header="0.31496062992125984" footer="0.31496062992125984"/>
  <pageSetup paperSize="9" scale="61" orientation="portrait" r:id="rId1"/>
  <headerFooter>
    <oddFooter>&amp;L&amp;"-,Bold"Waimakariri District Council&amp;C&amp;D&amp;RPage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20"/>
  <sheetViews>
    <sheetView workbookViewId="0">
      <selection activeCell="D18" sqref="D18"/>
    </sheetView>
  </sheetViews>
  <sheetFormatPr defaultRowHeight="15"/>
  <cols>
    <col min="1" max="1" width="61.140625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7" width="14.28515625" customWidth="1"/>
    <col min="11" max="11" width="27.140625" bestFit="1" customWidth="1"/>
  </cols>
  <sheetData>
    <row r="1" spans="1:7">
      <c r="A1" s="1" t="s">
        <v>0</v>
      </c>
    </row>
    <row r="2" spans="1:7">
      <c r="A2" s="1" t="s">
        <v>8</v>
      </c>
    </row>
    <row r="3" spans="1:7">
      <c r="A3" s="1" t="s">
        <v>510</v>
      </c>
    </row>
    <row r="5" spans="1:7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  <c r="G5" s="43"/>
    </row>
    <row r="6" spans="1:7">
      <c r="A6" s="14" t="s">
        <v>4</v>
      </c>
      <c r="B6" s="9"/>
      <c r="C6" s="9"/>
      <c r="D6" s="9"/>
      <c r="E6" s="9"/>
      <c r="F6" s="9"/>
    </row>
    <row r="7" spans="1:7">
      <c r="A7" s="39" t="s">
        <v>3</v>
      </c>
      <c r="B7" s="9"/>
      <c r="C7" s="9"/>
      <c r="D7" s="9"/>
      <c r="E7" s="9"/>
      <c r="F7" s="9"/>
    </row>
    <row r="8" spans="1:7">
      <c r="A8" s="9" t="s">
        <v>378</v>
      </c>
      <c r="B8" s="11">
        <v>20000</v>
      </c>
      <c r="C8" s="41"/>
      <c r="D8" s="41"/>
      <c r="E8" s="41"/>
      <c r="F8" s="41"/>
    </row>
    <row r="9" spans="1:7">
      <c r="B9" s="11">
        <f>SUM(B7:B8)</f>
        <v>20000</v>
      </c>
      <c r="C9" s="54">
        <f>B9</f>
        <v>20000</v>
      </c>
      <c r="D9" s="11">
        <v>15</v>
      </c>
      <c r="E9" s="88">
        <f>ROUND(B9/D9,0)</f>
        <v>1333</v>
      </c>
      <c r="F9" s="88">
        <f>ROUND(E9*1.15,0)</f>
        <v>1533</v>
      </c>
      <c r="G9" s="46"/>
    </row>
    <row r="10" spans="1:7">
      <c r="A10" s="42" t="s">
        <v>6</v>
      </c>
      <c r="B10" s="41"/>
      <c r="C10" s="41"/>
      <c r="D10" s="41"/>
      <c r="E10" s="41"/>
      <c r="F10" s="41"/>
    </row>
    <row r="11" spans="1:7">
      <c r="A11" s="39" t="s">
        <v>3</v>
      </c>
      <c r="B11" s="54"/>
      <c r="C11" s="41"/>
      <c r="D11" s="41"/>
      <c r="E11" s="41"/>
      <c r="F11" s="41"/>
    </row>
    <row r="12" spans="1:7">
      <c r="A12" s="9" t="s">
        <v>293</v>
      </c>
      <c r="B12" s="11">
        <v>682000</v>
      </c>
      <c r="C12" s="94"/>
      <c r="D12" s="41"/>
      <c r="E12" s="41"/>
      <c r="F12" s="41"/>
    </row>
    <row r="13" spans="1:7">
      <c r="A13" s="9"/>
      <c r="B13" s="11">
        <f>SUM(B11:B12)</f>
        <v>682000</v>
      </c>
      <c r="C13" s="94">
        <f>ROUND(B13*D$9/D$13,0)</f>
        <v>64747</v>
      </c>
      <c r="D13" s="11">
        <v>158</v>
      </c>
      <c r="E13" s="88">
        <f>ROUND(B13/D13,0)</f>
        <v>4316</v>
      </c>
      <c r="F13" s="88">
        <f>ROUND(E13*1.15,0)</f>
        <v>4963</v>
      </c>
      <c r="G13" s="4"/>
    </row>
    <row r="14" spans="1:7">
      <c r="A14" s="39" t="s">
        <v>7</v>
      </c>
      <c r="B14" s="41"/>
      <c r="C14" s="41"/>
      <c r="D14" s="41"/>
      <c r="E14" s="41"/>
      <c r="F14" s="41"/>
    </row>
    <row r="15" spans="1:7">
      <c r="A15" s="9" t="s">
        <v>258</v>
      </c>
      <c r="B15" s="54">
        <v>100663</v>
      </c>
      <c r="C15" s="41"/>
      <c r="D15" s="41"/>
      <c r="E15" s="41"/>
      <c r="F15" s="41"/>
    </row>
    <row r="16" spans="1:7">
      <c r="A16" s="9" t="s">
        <v>259</v>
      </c>
      <c r="B16" s="11">
        <v>10131</v>
      </c>
      <c r="C16" s="41"/>
      <c r="D16" s="41"/>
      <c r="E16" s="41"/>
      <c r="F16" s="41"/>
    </row>
    <row r="17" spans="1:7">
      <c r="A17" s="9" t="s">
        <v>260</v>
      </c>
      <c r="B17" s="11">
        <v>25228</v>
      </c>
      <c r="C17" s="41"/>
      <c r="D17" s="41"/>
      <c r="E17" s="41"/>
      <c r="F17" s="41"/>
    </row>
    <row r="18" spans="1:7">
      <c r="A18" s="9"/>
      <c r="B18" s="54">
        <f>SUM(B15:B17)</f>
        <v>136022</v>
      </c>
      <c r="C18" s="54">
        <f>ROUND(D9/D18*B18,0)</f>
        <v>12913</v>
      </c>
      <c r="D18" s="11">
        <v>158</v>
      </c>
      <c r="E18" s="88">
        <f>ROUND(B18/D18,0)</f>
        <v>861</v>
      </c>
      <c r="F18" s="88">
        <f>ROUND(E18*1.15,0)</f>
        <v>990</v>
      </c>
      <c r="G18" s="4"/>
    </row>
    <row r="19" spans="1:7">
      <c r="A19" s="9"/>
      <c r="B19" s="11"/>
      <c r="C19" s="9"/>
      <c r="D19" s="9"/>
      <c r="E19" s="9"/>
      <c r="F19" s="9"/>
    </row>
    <row r="20" spans="1:7">
      <c r="A20" s="14" t="s">
        <v>184</v>
      </c>
      <c r="B20" s="9"/>
      <c r="C20" s="9"/>
      <c r="D20" s="9"/>
      <c r="E20" s="12">
        <f>SUM(E9:E19)</f>
        <v>6510</v>
      </c>
      <c r="F20" s="12">
        <f>SUM(F9:F19)</f>
        <v>7486</v>
      </c>
      <c r="G20" s="4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48" fitToHeight="0" orientation="portrait" r:id="rId2"/>
  <headerFooter>
    <oddFooter>&amp;L&amp;"-,Bold"Waimakariri District Council &amp;C&amp;D&amp;RPage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  <pageSetUpPr fitToPage="1"/>
  </sheetPr>
  <dimension ref="A1:XFC26"/>
  <sheetViews>
    <sheetView workbookViewId="0">
      <selection activeCell="D30" sqref="D30"/>
    </sheetView>
  </sheetViews>
  <sheetFormatPr defaultRowHeight="15"/>
  <cols>
    <col min="1" max="1" width="40.28515625" bestFit="1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16383">
      <c r="A1" s="1" t="s">
        <v>0</v>
      </c>
    </row>
    <row r="2" spans="1:16383">
      <c r="A2" s="1" t="s">
        <v>64</v>
      </c>
    </row>
    <row r="3" spans="1:16383">
      <c r="A3" s="1" t="str">
        <f>'Cust water'!$A$3</f>
        <v>2023-24 Budget for Annual Plan</v>
      </c>
    </row>
    <row r="4" spans="1:16383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16383">
      <c r="A5" s="9"/>
      <c r="B5" s="9"/>
      <c r="C5" s="9"/>
      <c r="D5" s="9"/>
      <c r="E5" s="9"/>
      <c r="F5" s="9"/>
    </row>
    <row r="6" spans="1:16383">
      <c r="A6" s="14" t="s">
        <v>4</v>
      </c>
      <c r="B6" s="9"/>
      <c r="C6" s="9"/>
      <c r="D6" s="9"/>
      <c r="E6" s="9"/>
      <c r="F6" s="9"/>
    </row>
    <row r="7" spans="1:16383">
      <c r="A7" s="39" t="s">
        <v>3</v>
      </c>
      <c r="B7" s="9"/>
      <c r="C7" s="9"/>
      <c r="D7" s="9"/>
      <c r="E7" s="9"/>
      <c r="F7" s="9"/>
    </row>
    <row r="8" spans="1:16383">
      <c r="A8" s="41" t="s">
        <v>398</v>
      </c>
      <c r="B8" s="54">
        <v>41000</v>
      </c>
      <c r="C8" s="41"/>
      <c r="D8" s="41"/>
      <c r="E8" s="41"/>
      <c r="F8" s="41"/>
    </row>
    <row r="9" spans="1:16383">
      <c r="A9" s="41" t="s">
        <v>399</v>
      </c>
      <c r="B9" s="54">
        <v>54000</v>
      </c>
      <c r="C9" s="41"/>
      <c r="D9" s="41"/>
      <c r="E9" s="41"/>
      <c r="F9" s="41"/>
    </row>
    <row r="10" spans="1:16383">
      <c r="A10" s="41" t="s">
        <v>507</v>
      </c>
      <c r="B10" s="54">
        <v>189600</v>
      </c>
      <c r="C10" s="41"/>
      <c r="D10" s="41"/>
      <c r="E10" s="41"/>
      <c r="F10" s="41"/>
    </row>
    <row r="11" spans="1:16383">
      <c r="A11" s="41" t="s">
        <v>400</v>
      </c>
      <c r="B11" s="54">
        <f>253000+50600</f>
        <v>303600</v>
      </c>
      <c r="C11" s="41"/>
      <c r="D11" s="41"/>
      <c r="E11" s="41"/>
      <c r="F11" s="41"/>
    </row>
    <row r="12" spans="1:16383">
      <c r="A12" s="9"/>
      <c r="B12" s="54">
        <f>SUM(B8:B11)</f>
        <v>588200</v>
      </c>
      <c r="C12" s="54">
        <f>B12</f>
        <v>588200</v>
      </c>
      <c r="D12" s="11">
        <v>100</v>
      </c>
      <c r="E12" s="88">
        <f>ROUND(C12/D12,0)</f>
        <v>5882</v>
      </c>
      <c r="F12" s="88">
        <f>ROUND(E12*1.15,0)</f>
        <v>6764</v>
      </c>
    </row>
    <row r="13" spans="1:16383">
      <c r="A13" s="9"/>
      <c r="B13" s="54"/>
      <c r="C13" s="54"/>
      <c r="D13" s="11"/>
      <c r="E13" s="88"/>
      <c r="F13" s="88"/>
    </row>
    <row r="14" spans="1:16383">
      <c r="A14" s="14" t="s">
        <v>6</v>
      </c>
      <c r="B14" s="41"/>
      <c r="C14" s="41"/>
      <c r="D14" s="41"/>
      <c r="E14" s="41"/>
      <c r="F14" s="41"/>
    </row>
    <row r="15" spans="1:16383">
      <c r="A15" s="39" t="s">
        <v>3</v>
      </c>
      <c r="B15" s="40"/>
      <c r="C15" s="40"/>
      <c r="D15" s="40"/>
      <c r="E15" s="40"/>
      <c r="F15" s="4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  <c r="XFC15" s="6"/>
    </row>
    <row r="16" spans="1:16383">
      <c r="A16" s="41"/>
      <c r="B16" s="91"/>
      <c r="C16" s="41"/>
      <c r="D16" s="41"/>
      <c r="E16" s="41"/>
      <c r="F16" s="41"/>
      <c r="G16" s="4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  <c r="XFC16" s="6"/>
    </row>
    <row r="17" spans="1:16383">
      <c r="A17" s="9"/>
      <c r="B17" s="54">
        <f>SUM(B16:B16)</f>
        <v>0</v>
      </c>
      <c r="C17" s="11">
        <f>ROUND(D$12/D17*B17,0)</f>
        <v>0</v>
      </c>
      <c r="D17" s="11">
        <v>686</v>
      </c>
      <c r="E17" s="88">
        <f>ROUND(B17/D17,0)</f>
        <v>0</v>
      </c>
      <c r="F17" s="88">
        <f>ROUND(E17*1.15,0)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</row>
    <row r="18" spans="1:16383">
      <c r="A18" s="39" t="s">
        <v>7</v>
      </c>
      <c r="B18" s="41"/>
      <c r="C18" s="41"/>
      <c r="D18" s="41"/>
      <c r="E18" s="41"/>
      <c r="F18" s="41"/>
    </row>
    <row r="19" spans="1:16383">
      <c r="A19" s="41" t="s">
        <v>158</v>
      </c>
      <c r="B19" s="11">
        <v>335922</v>
      </c>
      <c r="C19" s="41"/>
      <c r="D19" s="41"/>
      <c r="E19" s="41"/>
      <c r="F19" s="41"/>
    </row>
    <row r="20" spans="1:16383">
      <c r="A20" s="9" t="s">
        <v>38</v>
      </c>
      <c r="B20" s="11">
        <v>2727712</v>
      </c>
      <c r="C20" s="41"/>
      <c r="D20" s="41"/>
      <c r="E20" s="41"/>
      <c r="F20" s="41"/>
      <c r="G20" s="6"/>
    </row>
    <row r="21" spans="1:16383">
      <c r="A21" s="9"/>
      <c r="B21" s="11">
        <f>SUM(B19:B20)</f>
        <v>3063634</v>
      </c>
      <c r="C21" s="54">
        <f>ROUND(D12/D21*B21,0)</f>
        <v>366902</v>
      </c>
      <c r="D21" s="11">
        <v>835</v>
      </c>
      <c r="E21" s="88">
        <f>ROUND(B21/D21,0)</f>
        <v>3669</v>
      </c>
      <c r="F21" s="88">
        <f>ROUND(E21*1.15,0)</f>
        <v>4219</v>
      </c>
    </row>
    <row r="22" spans="1:16383">
      <c r="A22" s="9"/>
      <c r="B22" s="11"/>
      <c r="C22" s="54"/>
      <c r="D22" s="11"/>
      <c r="E22" s="88"/>
      <c r="F22" s="88"/>
      <c r="G22" s="6"/>
    </row>
    <row r="23" spans="1:16383">
      <c r="A23" s="9" t="s">
        <v>281</v>
      </c>
      <c r="B23" s="11">
        <v>19883</v>
      </c>
      <c r="C23" s="41"/>
      <c r="D23" s="41"/>
      <c r="E23" s="41"/>
      <c r="F23" s="41"/>
      <c r="G23" s="6"/>
    </row>
    <row r="24" spans="1:16383">
      <c r="A24" s="15"/>
      <c r="B24" s="54">
        <f>SUM(B23:B23)</f>
        <v>19883</v>
      </c>
      <c r="C24" s="54">
        <f>ROUND(D12/D24*B24,0)</f>
        <v>2898</v>
      </c>
      <c r="D24" s="11">
        <v>686</v>
      </c>
      <c r="E24" s="88">
        <f>ROUND(B24/D24,0)</f>
        <v>29</v>
      </c>
      <c r="F24" s="88">
        <f>ROUND(E24*1.15,0)</f>
        <v>33</v>
      </c>
    </row>
    <row r="25" spans="1:16383">
      <c r="A25" s="15"/>
      <c r="B25" s="54"/>
      <c r="C25" s="54"/>
      <c r="D25" s="11"/>
      <c r="E25" s="88"/>
      <c r="F25" s="88"/>
    </row>
    <row r="26" spans="1:16383">
      <c r="A26" s="14" t="s">
        <v>188</v>
      </c>
      <c r="B26" s="41"/>
      <c r="C26" s="41"/>
      <c r="D26" s="88"/>
      <c r="E26" s="88">
        <f>SUM(E4:E25)</f>
        <v>9580</v>
      </c>
      <c r="F26" s="88">
        <f>SUM(F4:F25)</f>
        <v>11016</v>
      </c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</customSheetView>
  </customSheetViews>
  <pageMargins left="0.51181102362204722" right="0.51181102362204722" top="0.74803149606299213" bottom="0.74803149606299213" header="0.31496062992125984" footer="0.31496062992125984"/>
  <pageSetup paperSize="9" scale="51" fitToHeight="0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59999389629810485"/>
    <pageSetUpPr fitToPage="1"/>
  </sheetPr>
  <dimension ref="A1:F27"/>
  <sheetViews>
    <sheetView workbookViewId="0">
      <selection activeCell="H14" sqref="H14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61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6"/>
      <c r="D5" s="16"/>
      <c r="E5" s="16"/>
      <c r="F5" s="16"/>
    </row>
    <row r="6" spans="1:6">
      <c r="A6" s="14" t="s">
        <v>4</v>
      </c>
      <c r="B6" s="9"/>
      <c r="C6" s="11"/>
      <c r="D6" s="11"/>
      <c r="E6" s="12"/>
      <c r="F6" s="12"/>
    </row>
    <row r="7" spans="1:6">
      <c r="A7" s="39" t="s">
        <v>2</v>
      </c>
      <c r="B7" s="41"/>
      <c r="C7" s="11"/>
      <c r="D7" s="11"/>
      <c r="E7" s="88"/>
      <c r="F7" s="88"/>
    </row>
    <row r="8" spans="1:6">
      <c r="A8" s="9" t="s">
        <v>414</v>
      </c>
      <c r="B8" s="54">
        <v>166250</v>
      </c>
      <c r="C8" s="11"/>
      <c r="D8" s="11"/>
      <c r="E8" s="88"/>
      <c r="F8" s="88"/>
    </row>
    <row r="9" spans="1:6">
      <c r="A9" s="9" t="s">
        <v>415</v>
      </c>
      <c r="B9" s="54">
        <v>133000</v>
      </c>
      <c r="C9" s="11"/>
      <c r="D9" s="11"/>
      <c r="E9" s="88"/>
      <c r="F9" s="88"/>
    </row>
    <row r="10" spans="1:6">
      <c r="A10" s="14"/>
      <c r="B10" s="54">
        <f>SUM(B7:B9)</f>
        <v>299250</v>
      </c>
      <c r="C10" s="11">
        <f>B10</f>
        <v>299250</v>
      </c>
      <c r="D10" s="11">
        <v>69</v>
      </c>
      <c r="E10" s="88">
        <f>ROUND(C10/D10,0)</f>
        <v>4337</v>
      </c>
      <c r="F10" s="88">
        <f>ROUND(E10*1.15,0)</f>
        <v>4988</v>
      </c>
    </row>
    <row r="11" spans="1:6">
      <c r="A11" s="14"/>
      <c r="B11" s="41"/>
      <c r="C11" s="11"/>
      <c r="D11" s="11"/>
      <c r="E11" s="88"/>
      <c r="F11" s="88"/>
    </row>
    <row r="12" spans="1:6">
      <c r="A12" s="14" t="s">
        <v>339</v>
      </c>
      <c r="B12" s="41"/>
      <c r="C12" s="11"/>
      <c r="D12" s="11"/>
      <c r="E12" s="88"/>
      <c r="F12" s="88"/>
    </row>
    <row r="13" spans="1:6">
      <c r="A13" s="39" t="s">
        <v>2</v>
      </c>
      <c r="B13" s="41"/>
      <c r="C13" s="41"/>
      <c r="D13" s="41"/>
      <c r="E13" s="41"/>
      <c r="F13" s="41"/>
    </row>
    <row r="14" spans="1:6">
      <c r="A14" s="9" t="s">
        <v>353</v>
      </c>
      <c r="B14" s="54">
        <v>1844554</v>
      </c>
      <c r="C14" s="41"/>
      <c r="D14" s="41"/>
      <c r="E14" s="41"/>
      <c r="F14" s="41"/>
    </row>
    <row r="15" spans="1:6">
      <c r="A15" s="9" t="s">
        <v>354</v>
      </c>
      <c r="B15" s="54">
        <v>9141</v>
      </c>
      <c r="C15" s="41"/>
      <c r="D15" s="41"/>
      <c r="E15" s="41"/>
      <c r="F15" s="41"/>
    </row>
    <row r="16" spans="1:6">
      <c r="A16" s="9" t="s">
        <v>355</v>
      </c>
      <c r="B16" s="54">
        <v>4265</v>
      </c>
      <c r="C16" s="41"/>
      <c r="D16" s="41"/>
      <c r="E16" s="41"/>
      <c r="F16" s="41"/>
    </row>
    <row r="17" spans="1:6">
      <c r="A17" s="9" t="s">
        <v>356</v>
      </c>
      <c r="B17" s="54">
        <v>119017</v>
      </c>
      <c r="C17" s="41"/>
      <c r="D17" s="41"/>
      <c r="E17" s="41"/>
      <c r="F17" s="41"/>
    </row>
    <row r="18" spans="1:6">
      <c r="A18" s="9"/>
      <c r="B18" s="11">
        <f>SUM(B14:B17)</f>
        <v>1976977</v>
      </c>
      <c r="C18" s="54">
        <f>B18</f>
        <v>1976977</v>
      </c>
      <c r="D18" s="11">
        <v>247</v>
      </c>
      <c r="E18" s="88">
        <f>ROUND(B18/D18,0)</f>
        <v>8004</v>
      </c>
      <c r="F18" s="88">
        <f>ROUND(E18*1.15,0)</f>
        <v>9205</v>
      </c>
    </row>
    <row r="19" spans="1:6">
      <c r="A19" s="9"/>
      <c r="B19" s="11"/>
      <c r="C19" s="9"/>
      <c r="D19" s="9"/>
      <c r="E19" s="9"/>
      <c r="F19" s="9"/>
    </row>
    <row r="20" spans="1:6">
      <c r="A20" s="14" t="s">
        <v>184</v>
      </c>
      <c r="B20" s="11"/>
      <c r="C20" s="9"/>
      <c r="D20" s="9"/>
      <c r="E20" s="12">
        <f>SUM(E7:E19)</f>
        <v>12341</v>
      </c>
      <c r="F20" s="12">
        <f>SUM(F7:F19)</f>
        <v>14193</v>
      </c>
    </row>
    <row r="21" spans="1:6">
      <c r="B21" s="4"/>
    </row>
    <row r="23" spans="1:6">
      <c r="A23" s="1"/>
    </row>
    <row r="24" spans="1:6">
      <c r="B24" s="4"/>
    </row>
    <row r="25" spans="1:6">
      <c r="B25" s="4"/>
    </row>
    <row r="26" spans="1:6">
      <c r="B26" s="4"/>
    </row>
    <row r="27" spans="1:6">
      <c r="B27" s="4"/>
    </row>
  </sheetData>
  <customSheetViews>
    <customSheetView guid="{E62C39C8-EAA6-407C-933E-B5BB52ED1B14}" fitToPage="1">
      <selection activeCell="B8" sqref="B8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  <pageSetUpPr fitToPage="1"/>
  </sheetPr>
  <dimension ref="A1:H23"/>
  <sheetViews>
    <sheetView workbookViewId="0">
      <selection activeCell="B14" sqref="B14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48.85546875" customWidth="1"/>
  </cols>
  <sheetData>
    <row r="1" spans="1:8">
      <c r="A1" s="1" t="s">
        <v>0</v>
      </c>
    </row>
    <row r="2" spans="1:8">
      <c r="A2" s="1" t="s">
        <v>62</v>
      </c>
    </row>
    <row r="3" spans="1:8">
      <c r="A3" s="1" t="str">
        <f>'Cust water'!$A$3</f>
        <v>2023-24 Budget for Annual Plan</v>
      </c>
    </row>
    <row r="4" spans="1:8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  <c r="G4" s="43"/>
    </row>
    <row r="5" spans="1:8">
      <c r="A5" s="14" t="s">
        <v>4</v>
      </c>
      <c r="B5" s="9"/>
      <c r="C5" s="11"/>
      <c r="D5" s="11"/>
      <c r="E5" s="12"/>
      <c r="F5" s="12"/>
      <c r="G5" s="4"/>
    </row>
    <row r="6" spans="1:8">
      <c r="A6" s="39" t="s">
        <v>3</v>
      </c>
      <c r="B6" s="9"/>
      <c r="C6" s="9"/>
      <c r="D6" s="9"/>
      <c r="E6" s="9"/>
      <c r="F6" s="9"/>
    </row>
    <row r="7" spans="1:8">
      <c r="A7" s="9"/>
      <c r="B7" s="11">
        <f>SUM(B6)</f>
        <v>0</v>
      </c>
      <c r="C7" s="54">
        <f>B7</f>
        <v>0</v>
      </c>
      <c r="D7" s="11">
        <v>32</v>
      </c>
      <c r="E7" s="88">
        <f>IF(D7=0,0,ROUND(B7/D7,0))</f>
        <v>0</v>
      </c>
      <c r="F7" s="88">
        <f>ROUND(E7*1.15,0)</f>
        <v>0</v>
      </c>
      <c r="G7" s="4"/>
    </row>
    <row r="8" spans="1:8">
      <c r="A8" s="9"/>
      <c r="B8" s="41"/>
      <c r="C8" s="41"/>
      <c r="D8" s="41"/>
      <c r="E8" s="41"/>
      <c r="F8" s="41"/>
    </row>
    <row r="9" spans="1:8">
      <c r="A9" s="14" t="s">
        <v>6</v>
      </c>
      <c r="B9" s="41"/>
      <c r="C9" s="41"/>
      <c r="D9" s="41"/>
      <c r="E9" s="41"/>
      <c r="F9" s="41"/>
    </row>
    <row r="10" spans="1:8">
      <c r="A10" s="39" t="s">
        <v>257</v>
      </c>
      <c r="B10" s="41"/>
      <c r="C10" s="41"/>
      <c r="D10" s="41"/>
      <c r="E10" s="41"/>
      <c r="F10" s="41"/>
    </row>
    <row r="11" spans="1:8">
      <c r="A11" s="15"/>
      <c r="B11" s="41"/>
      <c r="C11" s="41"/>
      <c r="D11" s="41"/>
      <c r="E11" s="41"/>
      <c r="F11" s="41"/>
      <c r="H11" s="6"/>
    </row>
    <row r="12" spans="1:8">
      <c r="A12" s="39" t="s">
        <v>7</v>
      </c>
      <c r="B12" s="41"/>
      <c r="C12" s="41"/>
      <c r="D12" s="41"/>
      <c r="E12" s="41"/>
      <c r="F12" s="41"/>
    </row>
    <row r="13" spans="1:8">
      <c r="A13" s="9" t="s">
        <v>334</v>
      </c>
      <c r="B13" s="11">
        <v>291883</v>
      </c>
      <c r="C13" s="54"/>
      <c r="D13" s="11"/>
      <c r="E13" s="88"/>
      <c r="F13" s="88"/>
      <c r="G13" s="4"/>
    </row>
    <row r="14" spans="1:8">
      <c r="A14" s="9"/>
      <c r="B14" s="54">
        <f>SUM(B11:B13)</f>
        <v>291883</v>
      </c>
      <c r="C14" s="54">
        <f>ROUND(D$7/D14*B14,0)</f>
        <v>15593</v>
      </c>
      <c r="D14" s="11">
        <v>599</v>
      </c>
      <c r="E14" s="88">
        <f>ROUND(B14/D14,0)</f>
        <v>487</v>
      </c>
      <c r="F14" s="88">
        <f>ROUND(E14*1.15,0)</f>
        <v>560</v>
      </c>
      <c r="G14" s="4"/>
    </row>
    <row r="15" spans="1:8">
      <c r="A15" s="9"/>
      <c r="B15" s="11"/>
      <c r="C15" s="9"/>
      <c r="D15" s="9"/>
      <c r="E15" s="9"/>
      <c r="F15" s="9"/>
    </row>
    <row r="16" spans="1:8">
      <c r="A16" s="14" t="s">
        <v>184</v>
      </c>
      <c r="B16" s="11"/>
      <c r="C16" s="9"/>
      <c r="D16" s="9"/>
      <c r="E16" s="12">
        <f>SUM(E7:E15)</f>
        <v>487</v>
      </c>
      <c r="F16" s="12">
        <f>SUM(F7:F15)</f>
        <v>560</v>
      </c>
      <c r="G16" s="4"/>
    </row>
    <row r="17" spans="1:2">
      <c r="B17" s="4"/>
    </row>
    <row r="19" spans="1:2">
      <c r="A19" s="1"/>
    </row>
    <row r="20" spans="1:2">
      <c r="B20" s="4"/>
    </row>
    <row r="21" spans="1:2">
      <c r="B21" s="4"/>
    </row>
    <row r="22" spans="1:2">
      <c r="B22" s="4"/>
    </row>
    <row r="23" spans="1:2">
      <c r="B23" s="4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8" fitToHeight="0" orientation="portrait" r:id="rId2"/>
  <headerFooter>
    <oddFooter>&amp;L&amp;"-,Bold"Waimakariri District Council&amp;C&amp;D&amp;RPage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59999389629810485"/>
    <pageSetUpPr fitToPage="1"/>
  </sheetPr>
  <dimension ref="A1:F19"/>
  <sheetViews>
    <sheetView workbookViewId="0">
      <selection activeCell="B11" sqref="B11"/>
    </sheetView>
  </sheetViews>
  <sheetFormatPr defaultRowHeight="15"/>
  <cols>
    <col min="1" max="1" width="40.28515625" bestFit="1" customWidth="1"/>
    <col min="2" max="2" width="11.5703125" bestFit="1" customWidth="1"/>
    <col min="3" max="3" width="13.7109375" customWidth="1"/>
    <col min="4" max="4" width="12.7109375" customWidth="1"/>
    <col min="5" max="5" width="13.7109375" customWidth="1"/>
    <col min="6" max="6" width="13.140625" customWidth="1"/>
  </cols>
  <sheetData>
    <row r="1" spans="1:6">
      <c r="A1" s="1" t="s">
        <v>0</v>
      </c>
    </row>
    <row r="2" spans="1:6">
      <c r="A2" s="1" t="s">
        <v>195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194</v>
      </c>
      <c r="E5" s="8" t="s">
        <v>187</v>
      </c>
      <c r="F5" s="8" t="s">
        <v>183</v>
      </c>
    </row>
    <row r="6" spans="1:6">
      <c r="A6" s="14" t="s">
        <v>4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 t="s">
        <v>458</v>
      </c>
      <c r="B8" s="54">
        <v>16000</v>
      </c>
      <c r="C8" s="41"/>
      <c r="D8" s="41"/>
      <c r="E8" s="41"/>
      <c r="F8" s="41"/>
    </row>
    <row r="9" spans="1:6">
      <c r="A9" s="9" t="s">
        <v>301</v>
      </c>
      <c r="B9" s="54">
        <v>33000</v>
      </c>
      <c r="C9" s="41"/>
      <c r="D9" s="41"/>
      <c r="E9" s="41"/>
      <c r="F9" s="41"/>
    </row>
    <row r="10" spans="1:6">
      <c r="A10" s="9" t="s">
        <v>456</v>
      </c>
      <c r="B10" s="54">
        <v>11000</v>
      </c>
      <c r="C10" s="41"/>
      <c r="D10" s="41"/>
      <c r="E10" s="41"/>
      <c r="F10" s="41"/>
    </row>
    <row r="11" spans="1:6">
      <c r="A11" s="86" t="s">
        <v>457</v>
      </c>
      <c r="B11" s="54">
        <v>808000</v>
      </c>
      <c r="C11" s="41"/>
      <c r="D11" s="41"/>
      <c r="E11" s="41"/>
      <c r="F11" s="41"/>
    </row>
    <row r="12" spans="1:6">
      <c r="B12" s="54">
        <f>SUM(B8:B11)</f>
        <v>868000</v>
      </c>
      <c r="C12" s="54">
        <f>B12</f>
        <v>868000</v>
      </c>
      <c r="D12" s="11">
        <v>1185600</v>
      </c>
      <c r="E12" s="88">
        <f>ROUND(B12/D12,2)</f>
        <v>0.73</v>
      </c>
      <c r="F12" s="88">
        <f>ROUND(E12*1.15,2)</f>
        <v>0.84</v>
      </c>
    </row>
    <row r="13" spans="1:6">
      <c r="A13" s="9"/>
      <c r="B13" s="54"/>
      <c r="C13" s="41"/>
      <c r="D13" s="41"/>
      <c r="E13" s="41"/>
      <c r="F13" s="41"/>
    </row>
    <row r="14" spans="1:6">
      <c r="A14" s="39" t="s">
        <v>7</v>
      </c>
      <c r="B14" s="41"/>
      <c r="C14" s="41"/>
      <c r="D14" s="41"/>
      <c r="E14" s="41"/>
      <c r="F14" s="41"/>
    </row>
    <row r="15" spans="1:6">
      <c r="A15" s="9" t="s">
        <v>233</v>
      </c>
      <c r="B15" s="54">
        <v>31775</v>
      </c>
      <c r="C15" s="119"/>
      <c r="D15" s="41"/>
      <c r="E15" s="41"/>
      <c r="F15" s="41"/>
    </row>
    <row r="16" spans="1:6">
      <c r="A16" s="9"/>
      <c r="B16" s="11">
        <f>SUM(B15:B15)</f>
        <v>31775</v>
      </c>
      <c r="C16" s="10">
        <f>B16</f>
        <v>31775</v>
      </c>
      <c r="D16" s="11">
        <v>1185600</v>
      </c>
      <c r="E16" s="12">
        <f>ROUND(B16/D16,2)</f>
        <v>0.03</v>
      </c>
      <c r="F16" s="12">
        <f>ROUND(E16*1.15,2)</f>
        <v>0.03</v>
      </c>
    </row>
    <row r="17" spans="1:6">
      <c r="A17" s="9"/>
      <c r="B17" s="9"/>
      <c r="C17" s="9"/>
      <c r="D17" s="9"/>
      <c r="E17" s="9"/>
      <c r="F17" s="9"/>
    </row>
    <row r="18" spans="1:6">
      <c r="A18" s="9"/>
      <c r="B18" s="9"/>
      <c r="C18" s="9"/>
      <c r="D18" s="9"/>
      <c r="E18" s="9"/>
      <c r="F18" s="9"/>
    </row>
    <row r="19" spans="1:6">
      <c r="A19" s="14" t="s">
        <v>142</v>
      </c>
      <c r="B19" s="9"/>
      <c r="C19" s="9"/>
      <c r="D19" s="9"/>
      <c r="E19" s="12">
        <f>SUM(E6:E18)</f>
        <v>0.76</v>
      </c>
      <c r="F19" s="12">
        <f>SUM(F6:F18)</f>
        <v>0.87</v>
      </c>
    </row>
  </sheetData>
  <customSheetViews>
    <customSheetView guid="{E62C39C8-EAA6-407C-933E-B5BB52ED1B14}" fitToPage="1">
      <selection activeCell="D15" sqref="D15"/>
      <pageMargins left="0.51181102362204722" right="0.51181102362204722" top="0.74803149606299213" bottom="0.74803149606299213" header="0.31496062992125984" footer="0.31496062992125984"/>
      <pageSetup paperSize="9" scale="87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7" orientation="portrait" r:id="rId2"/>
  <headerFooter>
    <oddFooter>&amp;L&amp;"-,Bold"Waimakariri District Council&amp;C&amp;D&amp;RPage &amp;P</oddFooter>
  </headerFooter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59999389629810485"/>
    <pageSetUpPr fitToPage="1"/>
  </sheetPr>
  <dimension ref="A1:G27"/>
  <sheetViews>
    <sheetView workbookViewId="0">
      <selection activeCell="A25" sqref="A25"/>
    </sheetView>
  </sheetViews>
  <sheetFormatPr defaultRowHeight="15"/>
  <cols>
    <col min="1" max="1" width="37.7109375" customWidth="1"/>
    <col min="2" max="2" width="18.42578125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63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9"/>
      <c r="B5" s="9"/>
      <c r="C5" s="16"/>
      <c r="D5" s="16"/>
      <c r="E5" s="16"/>
      <c r="F5" s="16"/>
    </row>
    <row r="6" spans="1:7">
      <c r="A6" s="14" t="s">
        <v>4</v>
      </c>
      <c r="B6" s="9"/>
      <c r="C6" s="11"/>
      <c r="D6" s="11"/>
      <c r="E6" s="12"/>
      <c r="F6" s="12"/>
    </row>
    <row r="7" spans="1:7">
      <c r="A7" s="39" t="s">
        <v>3</v>
      </c>
      <c r="B7" s="41"/>
      <c r="C7" s="41"/>
      <c r="D7" s="41"/>
      <c r="E7" s="41"/>
      <c r="F7" s="41"/>
    </row>
    <row r="8" spans="1:7">
      <c r="A8" s="9" t="s">
        <v>401</v>
      </c>
      <c r="B8" s="91">
        <v>30000</v>
      </c>
      <c r="C8" s="41"/>
      <c r="D8" s="41"/>
      <c r="E8" s="41"/>
      <c r="F8" s="41"/>
      <c r="G8" s="79"/>
    </row>
    <row r="9" spans="1:7">
      <c r="A9" s="9"/>
      <c r="B9" s="54">
        <f>SUM(B5:B8)</f>
        <v>30000</v>
      </c>
      <c r="C9" s="54">
        <f>B9</f>
        <v>30000</v>
      </c>
      <c r="D9" s="11">
        <v>27</v>
      </c>
      <c r="E9" s="88">
        <f>ROUND(B9/D9,0)</f>
        <v>1111</v>
      </c>
      <c r="F9" s="88">
        <f>ROUND(E9*1.15,0)</f>
        <v>1278</v>
      </c>
    </row>
    <row r="10" spans="1:7">
      <c r="A10" s="14" t="s">
        <v>6</v>
      </c>
      <c r="B10" s="41"/>
      <c r="C10" s="41"/>
      <c r="D10" s="41"/>
      <c r="E10" s="41"/>
      <c r="F10" s="41"/>
    </row>
    <row r="11" spans="1:7">
      <c r="A11" s="39" t="s">
        <v>3</v>
      </c>
      <c r="B11" s="41"/>
      <c r="C11" s="41"/>
      <c r="D11" s="41"/>
      <c r="E11" s="41"/>
      <c r="F11" s="41"/>
    </row>
    <row r="12" spans="1:7">
      <c r="A12" s="41"/>
      <c r="B12" s="54"/>
      <c r="C12" s="54"/>
      <c r="D12" s="11"/>
      <c r="E12" s="88"/>
      <c r="F12" s="88"/>
    </row>
    <row r="13" spans="1:7">
      <c r="A13" s="39" t="s">
        <v>7</v>
      </c>
      <c r="B13" s="41"/>
      <c r="C13" s="41"/>
      <c r="D13" s="41"/>
      <c r="E13" s="41"/>
      <c r="F13" s="41"/>
    </row>
    <row r="14" spans="1:7">
      <c r="A14" s="41" t="s">
        <v>158</v>
      </c>
      <c r="B14" s="11">
        <v>178734</v>
      </c>
      <c r="C14" s="41"/>
      <c r="D14" s="41"/>
      <c r="E14" s="41"/>
      <c r="F14" s="41"/>
      <c r="G14" s="79"/>
    </row>
    <row r="15" spans="1:7">
      <c r="A15" s="41"/>
      <c r="B15" s="54">
        <f>SUM(B14:B14)</f>
        <v>178734</v>
      </c>
      <c r="C15" s="54">
        <f>B15</f>
        <v>178734</v>
      </c>
      <c r="D15" s="11">
        <v>333</v>
      </c>
      <c r="E15" s="88">
        <f>ROUND(B15/D15,0)</f>
        <v>537</v>
      </c>
      <c r="F15" s="88">
        <f>ROUND(E15*1.15,0)</f>
        <v>618</v>
      </c>
      <c r="G15" s="79"/>
    </row>
    <row r="16" spans="1:7">
      <c r="A16" s="41"/>
      <c r="B16" s="11"/>
      <c r="C16" s="41"/>
      <c r="D16" s="41"/>
      <c r="E16" s="41"/>
      <c r="F16" s="41"/>
      <c r="G16" s="79"/>
    </row>
    <row r="17" spans="1:6">
      <c r="A17" s="9" t="s">
        <v>50</v>
      </c>
      <c r="B17" s="11">
        <v>7454</v>
      </c>
      <c r="C17" s="54"/>
      <c r="D17" s="11"/>
      <c r="E17" s="88"/>
      <c r="F17" s="88"/>
    </row>
    <row r="18" spans="1:6">
      <c r="A18" s="9"/>
      <c r="B18" s="54">
        <f>SUM(B17:B17)</f>
        <v>7454</v>
      </c>
      <c r="C18" s="54">
        <f>B18</f>
        <v>7454</v>
      </c>
      <c r="D18" s="11">
        <v>297</v>
      </c>
      <c r="E18" s="88">
        <f>ROUND(B18/D18,0)</f>
        <v>25</v>
      </c>
      <c r="F18" s="88">
        <f>ROUND(E18*1.15,0)</f>
        <v>29</v>
      </c>
    </row>
    <row r="19" spans="1:6">
      <c r="A19" s="9"/>
      <c r="B19" s="11"/>
      <c r="C19" s="9"/>
      <c r="D19" s="9"/>
      <c r="E19" s="9"/>
      <c r="F19" s="9"/>
    </row>
    <row r="20" spans="1:6">
      <c r="A20" s="14" t="s">
        <v>188</v>
      </c>
      <c r="B20" s="11"/>
      <c r="C20" s="9"/>
      <c r="D20" s="9"/>
      <c r="E20" s="12">
        <f>SUM(E8:E19)</f>
        <v>1673</v>
      </c>
      <c r="F20" s="12">
        <f>SUM(F8:F19)</f>
        <v>1925</v>
      </c>
    </row>
    <row r="21" spans="1:6">
      <c r="B21" s="4"/>
    </row>
    <row r="23" spans="1:6">
      <c r="A23" s="1"/>
    </row>
    <row r="24" spans="1:6">
      <c r="B24" s="4"/>
    </row>
    <row r="25" spans="1:6">
      <c r="B25" s="4"/>
    </row>
    <row r="26" spans="1:6">
      <c r="B26" s="4"/>
    </row>
    <row r="27" spans="1:6">
      <c r="B27" s="4"/>
    </row>
  </sheetData>
  <customSheetViews>
    <customSheetView guid="{E62C39C8-EAA6-407C-933E-B5BB52ED1B14}" fitToPage="1">
      <selection activeCell="A12" sqref="A12:XFD12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1" fitToHeight="0" orientation="portrait" r:id="rId2"/>
  <headerFooter>
    <oddFooter>&amp;L&amp;"-,Bold"Waimakariri District Council&amp;C&amp;D&amp;RPage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59999389629810485"/>
  </sheetPr>
  <dimension ref="A1:H47"/>
  <sheetViews>
    <sheetView topLeftCell="A14" workbookViewId="0">
      <selection activeCell="I15" sqref="I15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20.7109375" customWidth="1"/>
  </cols>
  <sheetData>
    <row r="1" spans="1:7">
      <c r="A1" s="1" t="s">
        <v>0</v>
      </c>
    </row>
    <row r="2" spans="1:7">
      <c r="A2" s="1" t="s">
        <v>196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63" t="s">
        <v>183</v>
      </c>
      <c r="G4" s="67"/>
    </row>
    <row r="5" spans="1:7">
      <c r="A5" s="9"/>
      <c r="B5" s="9"/>
      <c r="C5" s="16"/>
      <c r="D5" s="16"/>
      <c r="E5" s="16"/>
      <c r="F5" s="64"/>
      <c r="G5" s="68"/>
    </row>
    <row r="6" spans="1:7">
      <c r="A6" s="14" t="s">
        <v>4</v>
      </c>
      <c r="B6" s="9"/>
      <c r="C6" s="11"/>
      <c r="D6" s="11"/>
      <c r="E6" s="12"/>
      <c r="F6" s="65"/>
      <c r="G6" s="69"/>
    </row>
    <row r="7" spans="1:7">
      <c r="A7" s="39" t="s">
        <v>3</v>
      </c>
      <c r="B7" s="41"/>
      <c r="C7" s="41"/>
      <c r="D7" s="41"/>
      <c r="E7" s="41"/>
      <c r="F7" s="89"/>
      <c r="G7" s="70"/>
    </row>
    <row r="8" spans="1:7">
      <c r="A8" s="9" t="s">
        <v>167</v>
      </c>
      <c r="B8" s="54">
        <v>72000</v>
      </c>
      <c r="C8" s="54"/>
      <c r="D8" s="41"/>
      <c r="E8" s="41"/>
      <c r="F8" s="89"/>
      <c r="G8" s="69"/>
    </row>
    <row r="9" spans="1:7">
      <c r="A9" s="9" t="s">
        <v>282</v>
      </c>
      <c r="B9" s="54">
        <v>479000</v>
      </c>
      <c r="C9" s="54"/>
      <c r="D9" s="41"/>
      <c r="E9" s="41"/>
      <c r="F9" s="89"/>
      <c r="G9" s="69"/>
    </row>
    <row r="10" spans="1:7">
      <c r="A10" s="9" t="s">
        <v>283</v>
      </c>
      <c r="B10" s="54">
        <v>39000</v>
      </c>
      <c r="C10" s="54"/>
      <c r="D10" s="41"/>
      <c r="E10" s="41"/>
      <c r="F10" s="89"/>
      <c r="G10" s="69"/>
    </row>
    <row r="11" spans="1:7">
      <c r="A11" s="9" t="s">
        <v>402</v>
      </c>
      <c r="B11" s="54">
        <v>34000</v>
      </c>
      <c r="C11" s="54"/>
      <c r="D11" s="41"/>
      <c r="E11" s="41"/>
      <c r="F11" s="89"/>
      <c r="G11" s="69"/>
    </row>
    <row r="12" spans="1:7">
      <c r="A12" s="9" t="s">
        <v>403</v>
      </c>
      <c r="B12" s="54">
        <v>70000</v>
      </c>
      <c r="C12" s="54"/>
      <c r="D12" s="41"/>
      <c r="E12" s="41"/>
      <c r="F12" s="89"/>
      <c r="G12" s="69"/>
    </row>
    <row r="13" spans="1:7">
      <c r="A13" s="9" t="s">
        <v>404</v>
      </c>
      <c r="B13" s="54">
        <v>338000</v>
      </c>
      <c r="C13" s="54"/>
      <c r="D13" s="41"/>
      <c r="E13" s="41"/>
      <c r="F13" s="89"/>
      <c r="G13" s="69"/>
    </row>
    <row r="14" spans="1:7">
      <c r="A14" s="9"/>
      <c r="B14" s="11">
        <f>SUM(B8:B13)</f>
        <v>1032000</v>
      </c>
      <c r="C14" s="54">
        <f>B14</f>
        <v>1032000</v>
      </c>
      <c r="D14" s="11">
        <v>220</v>
      </c>
      <c r="E14" s="88">
        <f>ROUND(C14/D14,0)</f>
        <v>4691</v>
      </c>
      <c r="F14" s="90">
        <f>ROUND(E14*1.15,0)</f>
        <v>5395</v>
      </c>
      <c r="G14" s="69"/>
    </row>
    <row r="15" spans="1:7">
      <c r="A15" s="9"/>
      <c r="B15" s="11"/>
      <c r="C15" s="54"/>
      <c r="D15" s="11"/>
      <c r="E15" s="88"/>
      <c r="F15" s="90"/>
      <c r="G15" s="69"/>
    </row>
    <row r="16" spans="1:7">
      <c r="A16" s="9" t="s">
        <v>405</v>
      </c>
      <c r="B16" s="54">
        <v>36000</v>
      </c>
      <c r="C16" s="54"/>
      <c r="D16" s="41"/>
      <c r="E16" s="41"/>
      <c r="F16" s="89"/>
      <c r="G16" s="69"/>
    </row>
    <row r="17" spans="1:7" ht="17.25" customHeight="1">
      <c r="A17" s="9" t="s">
        <v>518</v>
      </c>
      <c r="B17" s="54">
        <v>2000000</v>
      </c>
      <c r="C17" s="54"/>
      <c r="D17" s="41"/>
      <c r="E17" s="41"/>
      <c r="F17" s="89"/>
      <c r="G17" s="69"/>
    </row>
    <row r="18" spans="1:7" ht="17.25" customHeight="1">
      <c r="A18" s="9" t="s">
        <v>574</v>
      </c>
      <c r="B18" s="54">
        <v>-1302444</v>
      </c>
      <c r="C18" s="54"/>
      <c r="D18" s="41"/>
      <c r="E18" s="41"/>
      <c r="F18" s="89"/>
      <c r="G18" s="69"/>
    </row>
    <row r="19" spans="1:7">
      <c r="A19" s="9"/>
      <c r="B19" s="2">
        <f>SUM(B16:B18)</f>
        <v>733556</v>
      </c>
      <c r="C19" s="54">
        <f>B19</f>
        <v>733556</v>
      </c>
      <c r="D19" s="11">
        <v>289</v>
      </c>
      <c r="E19" s="88">
        <f>ROUND(C19/D19,0)</f>
        <v>2538</v>
      </c>
      <c r="F19" s="90">
        <f>ROUND(E19*1.15,0)</f>
        <v>2919</v>
      </c>
      <c r="G19" s="70"/>
    </row>
    <row r="20" spans="1:7">
      <c r="A20" s="9"/>
      <c r="B20" s="11"/>
      <c r="C20" s="54"/>
      <c r="D20" s="11"/>
      <c r="E20" s="88"/>
      <c r="F20" s="90"/>
      <c r="G20" s="70"/>
    </row>
    <row r="21" spans="1:7">
      <c r="A21" s="39" t="s">
        <v>367</v>
      </c>
      <c r="B21" s="11"/>
      <c r="C21" s="54"/>
      <c r="D21" s="11"/>
      <c r="E21" s="88"/>
      <c r="F21" s="90"/>
      <c r="G21" s="70"/>
    </row>
    <row r="22" spans="1:7">
      <c r="A22" s="9" t="s">
        <v>322</v>
      </c>
      <c r="B22" s="54">
        <v>400000</v>
      </c>
      <c r="C22" s="54"/>
      <c r="D22" s="41"/>
      <c r="E22" s="41"/>
      <c r="F22" s="89"/>
      <c r="G22" s="70"/>
    </row>
    <row r="23" spans="1:7">
      <c r="A23" s="9"/>
      <c r="B23" s="11">
        <f>SUM(B21:B22)</f>
        <v>400000</v>
      </c>
      <c r="C23" s="54">
        <f>B23</f>
        <v>400000</v>
      </c>
      <c r="D23" s="11">
        <v>922</v>
      </c>
      <c r="E23" s="88">
        <f>ROUND(C23/D23,0)</f>
        <v>434</v>
      </c>
      <c r="F23" s="90">
        <f>ROUND(E23*1.15,0)</f>
        <v>499</v>
      </c>
      <c r="G23" s="70"/>
    </row>
    <row r="24" spans="1:7">
      <c r="A24" s="9"/>
      <c r="B24" s="11"/>
      <c r="C24" s="54"/>
      <c r="D24" s="11"/>
      <c r="E24" s="88"/>
      <c r="F24" s="90"/>
      <c r="G24" s="70"/>
    </row>
    <row r="25" spans="1:7">
      <c r="A25" s="39" t="s">
        <v>2</v>
      </c>
      <c r="B25" s="54"/>
      <c r="C25" s="41"/>
      <c r="D25" s="41"/>
      <c r="E25" s="41"/>
      <c r="F25" s="89"/>
      <c r="G25" s="70"/>
    </row>
    <row r="26" spans="1:7">
      <c r="A26" s="9" t="s">
        <v>49</v>
      </c>
      <c r="B26" s="54">
        <f>115646+85991</f>
        <v>201637</v>
      </c>
      <c r="C26" s="54"/>
      <c r="D26" s="41"/>
      <c r="E26" s="41"/>
      <c r="F26" s="89"/>
      <c r="G26" s="70"/>
    </row>
    <row r="27" spans="1:7">
      <c r="A27" s="9" t="s">
        <v>335</v>
      </c>
      <c r="B27" s="54">
        <v>449456</v>
      </c>
      <c r="C27" s="54"/>
      <c r="D27" s="41"/>
      <c r="E27" s="41"/>
      <c r="F27" s="89"/>
      <c r="G27" s="70"/>
    </row>
    <row r="28" spans="1:7">
      <c r="A28" s="9" t="s">
        <v>337</v>
      </c>
      <c r="B28" s="54">
        <v>50611</v>
      </c>
      <c r="C28" s="54"/>
      <c r="D28" s="41"/>
      <c r="E28" s="41"/>
      <c r="F28" s="89"/>
      <c r="G28" s="70"/>
    </row>
    <row r="29" spans="1:7">
      <c r="A29" s="9"/>
      <c r="B29" s="11">
        <f>SUM(B26:B28)</f>
        <v>701704</v>
      </c>
      <c r="C29" s="11">
        <f>B29</f>
        <v>701704</v>
      </c>
      <c r="D29" s="11">
        <v>289</v>
      </c>
      <c r="E29" s="88">
        <f>ROUND(C29/D29,0)</f>
        <v>2428</v>
      </c>
      <c r="F29" s="90">
        <f>ROUND(E29*1.15,0)</f>
        <v>2792</v>
      </c>
      <c r="G29" s="69"/>
    </row>
    <row r="30" spans="1:7">
      <c r="A30" s="9"/>
      <c r="B30" s="11"/>
      <c r="C30" s="11"/>
      <c r="D30" s="11"/>
      <c r="E30" s="88"/>
      <c r="F30" s="90"/>
      <c r="G30" s="69"/>
    </row>
    <row r="31" spans="1:7">
      <c r="A31" s="9" t="s">
        <v>336</v>
      </c>
      <c r="B31" s="54">
        <v>17640</v>
      </c>
      <c r="C31" s="54"/>
      <c r="D31" s="41"/>
      <c r="E31" s="41"/>
      <c r="F31" s="89"/>
      <c r="G31" s="70"/>
    </row>
    <row r="32" spans="1:7">
      <c r="A32" s="9"/>
      <c r="B32" s="11">
        <f>SUM(B31:B31)</f>
        <v>17640</v>
      </c>
      <c r="C32" s="11">
        <f>B32</f>
        <v>17640</v>
      </c>
      <c r="D32" s="11">
        <v>220</v>
      </c>
      <c r="E32" s="88">
        <f>ROUND(C32/D32,0)</f>
        <v>80</v>
      </c>
      <c r="F32" s="90">
        <f>ROUND(E32*1.15,0)</f>
        <v>92</v>
      </c>
      <c r="G32" s="70"/>
    </row>
    <row r="33" spans="1:8">
      <c r="A33" s="9"/>
      <c r="B33" s="41"/>
      <c r="C33" s="41"/>
      <c r="D33" s="41"/>
      <c r="E33" s="41"/>
      <c r="F33" s="89"/>
      <c r="G33" s="70"/>
    </row>
    <row r="34" spans="1:8">
      <c r="A34" s="42" t="s">
        <v>6</v>
      </c>
      <c r="B34" s="41"/>
      <c r="C34" s="41"/>
      <c r="D34" s="41"/>
      <c r="E34" s="41"/>
      <c r="F34" s="89"/>
      <c r="G34" s="70"/>
    </row>
    <row r="35" spans="1:8">
      <c r="A35" s="39" t="s">
        <v>7</v>
      </c>
      <c r="B35" s="41"/>
      <c r="C35" s="41"/>
      <c r="D35" s="41"/>
      <c r="E35" s="41"/>
      <c r="F35" s="89"/>
      <c r="G35" s="70"/>
    </row>
    <row r="36" spans="1:8">
      <c r="A36" s="9" t="s">
        <v>51</v>
      </c>
      <c r="B36" s="11">
        <v>829039</v>
      </c>
      <c r="C36" s="54"/>
      <c r="D36" s="11"/>
      <c r="E36" s="88"/>
      <c r="F36" s="90"/>
      <c r="G36" s="71"/>
      <c r="H36" s="6"/>
    </row>
    <row r="37" spans="1:8">
      <c r="A37" s="9"/>
      <c r="B37" s="54">
        <f>SUM(B36:B36)</f>
        <v>829039</v>
      </c>
      <c r="C37" s="54">
        <f>B37*(D29/D37)</f>
        <v>91238.488575780662</v>
      </c>
      <c r="D37" s="11">
        <v>2626</v>
      </c>
      <c r="E37" s="88">
        <f>ROUND(B37/D37,0)</f>
        <v>316</v>
      </c>
      <c r="F37" s="90">
        <f>ROUND(E37*1.15,0)</f>
        <v>363</v>
      </c>
      <c r="G37" s="69"/>
    </row>
    <row r="38" spans="1:8">
      <c r="A38" s="9"/>
      <c r="B38" s="11"/>
      <c r="C38" s="10"/>
      <c r="D38" s="11"/>
      <c r="E38" s="12"/>
      <c r="F38" s="65"/>
      <c r="G38" s="69"/>
    </row>
    <row r="39" spans="1:8">
      <c r="A39" s="9"/>
      <c r="B39" s="11"/>
      <c r="C39" s="9"/>
      <c r="D39" s="9"/>
      <c r="E39" s="9"/>
      <c r="F39" s="66"/>
      <c r="G39" s="70"/>
    </row>
    <row r="40" spans="1:8">
      <c r="A40" s="14" t="s">
        <v>184</v>
      </c>
      <c r="B40" s="11"/>
      <c r="C40" s="9"/>
      <c r="D40" s="9"/>
      <c r="E40" s="12">
        <f>SUM(E8:E39)</f>
        <v>10487</v>
      </c>
      <c r="F40" s="65">
        <f>SUM(F8:F39)</f>
        <v>12060</v>
      </c>
      <c r="G40" s="69"/>
    </row>
    <row r="41" spans="1:8">
      <c r="B41" s="4"/>
    </row>
    <row r="43" spans="1:8">
      <c r="A43" s="1"/>
    </row>
    <row r="44" spans="1:8">
      <c r="B44" s="4"/>
    </row>
    <row r="45" spans="1:8">
      <c r="B45" s="4"/>
    </row>
    <row r="46" spans="1:8">
      <c r="B46" s="4"/>
    </row>
    <row r="47" spans="1:8">
      <c r="B47" s="4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75" fitToHeight="0" orientation="landscape" r:id="rId2"/>
  <headerFooter>
    <oddFooter>&amp;L&amp;"-,Bold"Waimakariri District Council&amp;C&amp;D&amp;RPage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59999389629810485"/>
    <pageSetUpPr fitToPage="1"/>
  </sheetPr>
  <dimension ref="A1:G36"/>
  <sheetViews>
    <sheetView topLeftCell="A14" workbookViewId="0">
      <selection activeCell="A39" sqref="A39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8.85546875" customWidth="1"/>
  </cols>
  <sheetData>
    <row r="1" spans="1:7">
      <c r="A1" s="1" t="s">
        <v>0</v>
      </c>
    </row>
    <row r="2" spans="1:7">
      <c r="A2" s="1" t="s">
        <v>197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9"/>
      <c r="B5" s="9"/>
      <c r="C5" s="16"/>
      <c r="D5" s="16"/>
      <c r="E5" s="16"/>
      <c r="F5" s="16"/>
    </row>
    <row r="6" spans="1:7">
      <c r="A6" s="14" t="s">
        <v>4</v>
      </c>
      <c r="B6" s="9"/>
      <c r="C6" s="11"/>
      <c r="D6" s="11"/>
      <c r="E6" s="12"/>
      <c r="F6" s="12"/>
    </row>
    <row r="7" spans="1:7">
      <c r="A7" s="39" t="s">
        <v>367</v>
      </c>
      <c r="B7" s="11"/>
      <c r="C7" s="10"/>
      <c r="D7" s="78"/>
      <c r="E7" s="12"/>
      <c r="F7" s="12"/>
    </row>
    <row r="8" spans="1:7">
      <c r="A8" s="9" t="s">
        <v>322</v>
      </c>
      <c r="B8" s="54">
        <v>100000</v>
      </c>
      <c r="C8" s="54"/>
      <c r="D8" s="41"/>
      <c r="E8" s="41"/>
      <c r="F8" s="9"/>
      <c r="G8" s="70"/>
    </row>
    <row r="9" spans="1:7">
      <c r="A9" s="9"/>
      <c r="B9" s="11">
        <f>SUM(B7:B8)</f>
        <v>100000</v>
      </c>
      <c r="C9" s="54">
        <f>B9</f>
        <v>100000</v>
      </c>
      <c r="D9" s="11">
        <v>922</v>
      </c>
      <c r="E9" s="88">
        <f>ROUND(C9/D9,0)</f>
        <v>108</v>
      </c>
      <c r="F9" s="12">
        <f>ROUND(E9*1.15,0)</f>
        <v>124</v>
      </c>
    </row>
    <row r="10" spans="1:7">
      <c r="A10" s="9"/>
      <c r="B10" s="11"/>
      <c r="C10" s="54"/>
      <c r="D10" s="11"/>
      <c r="E10" s="88"/>
      <c r="F10" s="12"/>
    </row>
    <row r="11" spans="1:7">
      <c r="A11" s="39" t="s">
        <v>257</v>
      </c>
      <c r="B11" s="54"/>
      <c r="C11" s="54"/>
      <c r="D11" s="41"/>
      <c r="E11" s="41"/>
      <c r="F11" s="9"/>
    </row>
    <row r="12" spans="1:7">
      <c r="A12" s="9" t="s">
        <v>405</v>
      </c>
      <c r="B12" s="54">
        <v>36000</v>
      </c>
      <c r="C12" s="54"/>
      <c r="D12" s="41"/>
      <c r="E12" s="41"/>
      <c r="F12" s="41"/>
    </row>
    <row r="13" spans="1:7">
      <c r="A13" s="9" t="s">
        <v>518</v>
      </c>
      <c r="B13" s="54">
        <v>2000000</v>
      </c>
      <c r="C13" s="54"/>
      <c r="D13" s="41"/>
      <c r="E13" s="41"/>
      <c r="F13" s="41"/>
    </row>
    <row r="14" spans="1:7">
      <c r="A14" s="9" t="s">
        <v>574</v>
      </c>
      <c r="B14" s="54">
        <f>'Woodend water'!B18</f>
        <v>-1302444</v>
      </c>
      <c r="C14" s="54"/>
      <c r="D14" s="41"/>
      <c r="E14" s="41"/>
      <c r="F14" s="41"/>
    </row>
    <row r="15" spans="1:7">
      <c r="A15" s="9"/>
      <c r="B15" s="10">
        <f>SUM(B12:B14)</f>
        <v>733556</v>
      </c>
      <c r="C15" s="54">
        <f>B15</f>
        <v>733556</v>
      </c>
      <c r="D15" s="11">
        <v>289</v>
      </c>
      <c r="E15" s="88">
        <f>ROUND(C15/D15,0)</f>
        <v>2538</v>
      </c>
      <c r="F15" s="88">
        <f>ROUND(E15*1.15,0)</f>
        <v>2919</v>
      </c>
    </row>
    <row r="16" spans="1:7">
      <c r="A16" s="9"/>
      <c r="B16" s="2"/>
      <c r="C16" s="54"/>
      <c r="D16" s="11"/>
      <c r="E16" s="88"/>
      <c r="F16" s="88"/>
    </row>
    <row r="17" spans="1:7">
      <c r="A17" s="39" t="s">
        <v>7</v>
      </c>
      <c r="B17" s="54"/>
      <c r="C17" s="41"/>
      <c r="D17" s="41"/>
      <c r="E17" s="41"/>
      <c r="F17" s="9"/>
    </row>
    <row r="18" spans="1:7">
      <c r="A18" s="9" t="s">
        <v>49</v>
      </c>
      <c r="B18" s="54">
        <f>'Woodend water'!B26</f>
        <v>201637</v>
      </c>
      <c r="C18" s="54">
        <f>B18</f>
        <v>201637</v>
      </c>
      <c r="D18" s="41"/>
      <c r="E18" s="41"/>
      <c r="F18" s="9"/>
      <c r="G18" s="79"/>
    </row>
    <row r="19" spans="1:7">
      <c r="A19" s="9" t="s">
        <v>335</v>
      </c>
      <c r="B19" s="54">
        <f>'Woodend water'!B27</f>
        <v>449456</v>
      </c>
      <c r="C19" s="54">
        <f>B19</f>
        <v>449456</v>
      </c>
      <c r="D19" s="41"/>
      <c r="E19" s="41"/>
      <c r="F19" s="9"/>
    </row>
    <row r="20" spans="1:7">
      <c r="A20" s="9" t="s">
        <v>337</v>
      </c>
      <c r="B20" s="54">
        <f>'Woodend water'!B28</f>
        <v>50611</v>
      </c>
      <c r="C20" s="54">
        <f>B20</f>
        <v>50611</v>
      </c>
      <c r="D20" s="41"/>
      <c r="E20" s="41"/>
      <c r="F20" s="9"/>
    </row>
    <row r="21" spans="1:7">
      <c r="A21" s="9"/>
      <c r="B21" s="11">
        <f>SUM(B18:B20)</f>
        <v>701704</v>
      </c>
      <c r="C21" s="11">
        <f>SUM(C18:C20)</f>
        <v>701704</v>
      </c>
      <c r="D21" s="11">
        <v>289</v>
      </c>
      <c r="E21" s="88">
        <f>ROUND(C21/D21,0)</f>
        <v>2428</v>
      </c>
      <c r="F21" s="12">
        <f>ROUND(E21*1.15,0)</f>
        <v>2792</v>
      </c>
    </row>
    <row r="22" spans="1:7">
      <c r="A22" s="9"/>
      <c r="B22" s="41"/>
      <c r="C22" s="41"/>
      <c r="D22" s="41"/>
      <c r="E22" s="41"/>
      <c r="F22" s="9"/>
    </row>
    <row r="23" spans="1:7">
      <c r="A23" s="14" t="s">
        <v>6</v>
      </c>
      <c r="B23" s="41"/>
      <c r="C23" s="41"/>
      <c r="D23" s="41"/>
      <c r="E23" s="41"/>
      <c r="F23" s="9"/>
    </row>
    <row r="24" spans="1:7">
      <c r="A24" s="39" t="s">
        <v>7</v>
      </c>
      <c r="B24" s="41"/>
      <c r="C24" s="41"/>
      <c r="D24" s="41"/>
      <c r="E24" s="41"/>
      <c r="F24" s="9"/>
    </row>
    <row r="25" spans="1:7">
      <c r="A25" s="9" t="s">
        <v>51</v>
      </c>
      <c r="B25" s="11">
        <f>'Woodend water'!B36</f>
        <v>829039</v>
      </c>
      <c r="C25" s="54">
        <f>B25</f>
        <v>829039</v>
      </c>
      <c r="D25" s="11"/>
      <c r="E25" s="88"/>
      <c r="F25" s="12"/>
      <c r="G25" s="79"/>
    </row>
    <row r="26" spans="1:7">
      <c r="A26" s="9"/>
      <c r="B26" s="54">
        <f>SUM(B25:B25)</f>
        <v>829039</v>
      </c>
      <c r="C26" s="54">
        <f>SUM(C25:C25)</f>
        <v>829039</v>
      </c>
      <c r="D26" s="11">
        <v>2999</v>
      </c>
      <c r="E26" s="88">
        <f>ROUND(C26/D26,0)</f>
        <v>276</v>
      </c>
      <c r="F26" s="12">
        <f>ROUND(E26*1.15,0)</f>
        <v>317</v>
      </c>
    </row>
    <row r="27" spans="1:7">
      <c r="A27" s="9"/>
      <c r="B27" s="11"/>
      <c r="C27" s="10"/>
      <c r="D27" s="11"/>
      <c r="E27" s="12"/>
      <c r="F27" s="12"/>
    </row>
    <row r="28" spans="1:7">
      <c r="A28" s="9"/>
      <c r="B28" s="11"/>
      <c r="C28" s="9"/>
      <c r="D28" s="9"/>
      <c r="E28" s="9"/>
      <c r="F28" s="9"/>
    </row>
    <row r="29" spans="1:7">
      <c r="A29" s="14" t="s">
        <v>184</v>
      </c>
      <c r="B29" s="11"/>
      <c r="C29" s="9"/>
      <c r="D29" s="9"/>
      <c r="E29" s="12">
        <f>SUM(E8:E28)</f>
        <v>5350</v>
      </c>
      <c r="F29" s="12">
        <f>SUM(F8:F28)</f>
        <v>6152</v>
      </c>
    </row>
    <row r="30" spans="1:7">
      <c r="B30" s="4"/>
    </row>
    <row r="31" spans="1:7">
      <c r="A31" s="6" t="s">
        <v>577</v>
      </c>
      <c r="E31" s="4"/>
    </row>
    <row r="32" spans="1:7">
      <c r="A32" s="6" t="s">
        <v>487</v>
      </c>
      <c r="E32" s="4"/>
    </row>
    <row r="33" spans="1:2">
      <c r="A33" s="6" t="s">
        <v>488</v>
      </c>
      <c r="B33" s="4"/>
    </row>
    <row r="34" spans="1:2">
      <c r="A34" s="6" t="s">
        <v>489</v>
      </c>
      <c r="B34" s="4"/>
    </row>
    <row r="35" spans="1:2">
      <c r="B35" s="4"/>
    </row>
    <row r="36" spans="1:2">
      <c r="B36" s="4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fitToHeight="0" orientation="landscape" r:id="rId2"/>
  <headerFooter>
    <oddFooter>&amp;L&amp;"-,Bold"Waimakariri District Council&amp;C&amp;D&amp;RPage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2" tint="-0.249977111117893"/>
    <pageSetUpPr fitToPage="1"/>
  </sheetPr>
  <dimension ref="A1:G28"/>
  <sheetViews>
    <sheetView workbookViewId="0">
      <selection activeCell="J25" sqref="J25"/>
    </sheetView>
  </sheetViews>
  <sheetFormatPr defaultRowHeight="15"/>
  <cols>
    <col min="1" max="1" width="47.5703125" customWidth="1"/>
    <col min="2" max="2" width="14.285156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55</v>
      </c>
    </row>
    <row r="3" spans="1:7">
      <c r="A3" s="1" t="str">
        <f>'Summerhill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 t="s">
        <v>288</v>
      </c>
      <c r="B5" s="8"/>
      <c r="C5" s="8"/>
      <c r="D5" s="8"/>
      <c r="E5" s="8"/>
      <c r="F5" s="8"/>
    </row>
    <row r="6" spans="1:7">
      <c r="A6" s="39" t="s">
        <v>3</v>
      </c>
      <c r="B6" s="8"/>
      <c r="C6" s="8"/>
      <c r="D6" s="8"/>
      <c r="E6" s="8"/>
      <c r="F6" s="8"/>
    </row>
    <row r="7" spans="1:7">
      <c r="A7" s="16" t="s">
        <v>302</v>
      </c>
      <c r="B7" s="93">
        <v>500000</v>
      </c>
      <c r="C7" s="96">
        <f>B7</f>
        <v>500000</v>
      </c>
      <c r="D7" s="51"/>
      <c r="E7" s="51"/>
      <c r="F7" s="51"/>
      <c r="G7" s="79"/>
    </row>
    <row r="8" spans="1:7">
      <c r="A8" s="16" t="s">
        <v>289</v>
      </c>
      <c r="B8" s="93">
        <v>3500000</v>
      </c>
      <c r="C8" s="96">
        <f>B8</f>
        <v>3500000</v>
      </c>
      <c r="D8" s="51"/>
      <c r="E8" s="51"/>
      <c r="F8" s="51"/>
    </row>
    <row r="9" spans="1:7">
      <c r="A9" s="16" t="s">
        <v>407</v>
      </c>
      <c r="B9" s="93">
        <v>2500000</v>
      </c>
      <c r="C9" s="54">
        <f>B9</f>
        <v>2500000</v>
      </c>
      <c r="D9" s="51"/>
      <c r="E9" s="51"/>
      <c r="F9" s="51"/>
    </row>
    <row r="10" spans="1:7">
      <c r="A10" s="16" t="s">
        <v>53</v>
      </c>
      <c r="B10" s="93">
        <v>150000</v>
      </c>
      <c r="C10" s="54">
        <f>B10</f>
        <v>150000</v>
      </c>
      <c r="D10" s="41"/>
      <c r="E10" s="41"/>
      <c r="F10" s="41"/>
    </row>
    <row r="11" spans="1:7">
      <c r="A11" s="16" t="s">
        <v>462</v>
      </c>
      <c r="B11" s="93">
        <v>75000</v>
      </c>
      <c r="C11" s="54">
        <f>B11</f>
        <v>75000</v>
      </c>
      <c r="D11" s="41"/>
      <c r="E11" s="41"/>
      <c r="F11" s="41"/>
    </row>
    <row r="12" spans="1:7">
      <c r="A12" s="16"/>
      <c r="B12" s="96">
        <f>SUM(B7:B8,B9:B9,B10:B11)</f>
        <v>6725000</v>
      </c>
      <c r="C12" s="96">
        <f>SUM(C7:C8,C9:C9,C10:C11)</f>
        <v>6725000</v>
      </c>
      <c r="D12" s="11">
        <v>4261</v>
      </c>
      <c r="E12" s="88">
        <f>ROUND(C12/D12,0)</f>
        <v>1578</v>
      </c>
      <c r="F12" s="88">
        <f>ROUND(E12*1.15,0)</f>
        <v>1815</v>
      </c>
    </row>
    <row r="13" spans="1:7">
      <c r="A13" s="16"/>
      <c r="B13" s="96"/>
      <c r="C13" s="96"/>
      <c r="D13" s="11"/>
      <c r="E13" s="88"/>
      <c r="F13" s="88"/>
    </row>
    <row r="14" spans="1:7">
      <c r="A14" s="14" t="s">
        <v>6</v>
      </c>
      <c r="B14" s="41"/>
      <c r="C14" s="72"/>
      <c r="D14" s="72"/>
      <c r="E14" s="72"/>
      <c r="F14" s="72"/>
    </row>
    <row r="15" spans="1:7">
      <c r="A15" s="39" t="s">
        <v>3</v>
      </c>
      <c r="B15" s="41"/>
      <c r="C15" s="11"/>
      <c r="D15" s="11"/>
      <c r="E15" s="88"/>
      <c r="F15" s="88"/>
    </row>
    <row r="16" spans="1:7">
      <c r="A16" s="16"/>
      <c r="B16" s="93"/>
      <c r="C16" s="54"/>
      <c r="D16" s="11"/>
      <c r="E16" s="88"/>
      <c r="F16" s="88"/>
    </row>
    <row r="17" spans="1:7">
      <c r="A17" s="9"/>
      <c r="B17" s="11">
        <f>SUM(B15:B16)</f>
        <v>0</v>
      </c>
      <c r="C17" s="54">
        <f>SUM(C15:C16)</f>
        <v>0</v>
      </c>
      <c r="D17" s="11"/>
      <c r="E17" s="88"/>
      <c r="F17" s="88">
        <f>ROUND(E17*1.15,0)</f>
        <v>0</v>
      </c>
    </row>
    <row r="18" spans="1:7">
      <c r="A18" s="15"/>
      <c r="B18" s="41"/>
      <c r="C18" s="41"/>
      <c r="D18" s="41"/>
      <c r="E18" s="41"/>
      <c r="F18" s="41"/>
    </row>
    <row r="19" spans="1:7">
      <c r="A19" s="39" t="s">
        <v>7</v>
      </c>
      <c r="B19" s="41"/>
      <c r="C19" s="41"/>
      <c r="D19" s="41"/>
      <c r="E19" s="41"/>
      <c r="F19" s="41"/>
    </row>
    <row r="20" spans="1:7">
      <c r="A20" s="9" t="s">
        <v>52</v>
      </c>
      <c r="B20" s="96">
        <v>10644912</v>
      </c>
      <c r="C20" s="54">
        <v>3234084</v>
      </c>
      <c r="D20" s="11">
        <f>D12</f>
        <v>4261</v>
      </c>
      <c r="E20" s="88">
        <f>ROUND(C20/D20,0)</f>
        <v>759</v>
      </c>
      <c r="F20" s="88">
        <f>ROUND(E20*1.15,0)</f>
        <v>873</v>
      </c>
      <c r="G20" s="79"/>
    </row>
    <row r="21" spans="1:7">
      <c r="A21" s="9"/>
      <c r="B21" s="54"/>
      <c r="C21" s="54"/>
      <c r="D21" s="11"/>
      <c r="E21" s="88"/>
      <c r="F21" s="88"/>
    </row>
    <row r="22" spans="1:7">
      <c r="A22" s="9" t="s">
        <v>242</v>
      </c>
      <c r="B22" s="54">
        <v>166787</v>
      </c>
      <c r="C22" s="54">
        <f>B22</f>
        <v>166787</v>
      </c>
      <c r="D22" s="11"/>
      <c r="E22" s="88"/>
      <c r="F22" s="88"/>
    </row>
    <row r="23" spans="1:7">
      <c r="A23" s="16" t="s">
        <v>290</v>
      </c>
      <c r="B23" s="96">
        <v>5855782</v>
      </c>
      <c r="C23" s="54">
        <f t="shared" ref="C23:C24" si="0">B23</f>
        <v>5855782</v>
      </c>
      <c r="D23" s="11"/>
      <c r="E23" s="88"/>
      <c r="F23" s="88"/>
    </row>
    <row r="24" spans="1:7">
      <c r="A24" s="16" t="s">
        <v>303</v>
      </c>
      <c r="B24" s="54">
        <v>5897493</v>
      </c>
      <c r="C24" s="54">
        <f t="shared" si="0"/>
        <v>5897493</v>
      </c>
      <c r="D24" s="11"/>
      <c r="E24" s="88"/>
      <c r="F24" s="88"/>
    </row>
    <row r="25" spans="1:7" ht="30">
      <c r="A25" s="16" t="s">
        <v>54</v>
      </c>
      <c r="B25" s="54">
        <v>2450547</v>
      </c>
      <c r="C25" s="54">
        <f>B25</f>
        <v>2450547</v>
      </c>
      <c r="D25" s="11"/>
      <c r="E25" s="88"/>
      <c r="F25" s="88"/>
    </row>
    <row r="26" spans="1:7">
      <c r="A26" s="9"/>
      <c r="B26" s="54">
        <f>SUM(B22:B25)</f>
        <v>14370609</v>
      </c>
      <c r="C26" s="54">
        <f>SUM(C22:C25)</f>
        <v>14370609</v>
      </c>
      <c r="D26" s="11">
        <v>4261</v>
      </c>
      <c r="E26" s="88">
        <f>ROUND(C26/D26,0)</f>
        <v>3373</v>
      </c>
      <c r="F26" s="88">
        <f>ROUND(E26*1.15,0)</f>
        <v>3879</v>
      </c>
    </row>
    <row r="27" spans="1:7">
      <c r="A27" s="9"/>
      <c r="B27" s="11"/>
      <c r="C27" s="9"/>
      <c r="D27" s="9"/>
      <c r="E27" s="9"/>
      <c r="F27" s="9"/>
    </row>
    <row r="28" spans="1:7">
      <c r="A28" s="14" t="s">
        <v>184</v>
      </c>
      <c r="B28" s="12"/>
      <c r="C28" s="9"/>
      <c r="D28" s="9"/>
      <c r="E28" s="12">
        <f>ROUNDUP(SUM(E10:E27),0)</f>
        <v>5710</v>
      </c>
      <c r="F28" s="12">
        <f>SUM(F10:F27)</f>
        <v>6567</v>
      </c>
    </row>
  </sheetData>
  <customSheetViews>
    <customSheetView guid="{E62C39C8-EAA6-407C-933E-B5BB52ED1B14}" fitToPage="1">
      <selection activeCell="A28" sqref="A28"/>
      <pageMargins left="0.51181102362204722" right="0.51181102362204722" top="0.74803149606299213" bottom="0.74803149606299213" header="0.31496062992125984" footer="0.31496062992125984"/>
      <pageSetup paperSize="9" scale="81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49" orientation="portrait" r:id="rId2"/>
  <headerFooter>
    <oddFooter>&amp;L&amp;"-,Bold"Waimakariri District Council&amp;C&amp;D&amp;RPage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2" tint="-0.249977111117893"/>
    <pageSetUpPr fitToPage="1"/>
  </sheetPr>
  <dimension ref="A1:G18"/>
  <sheetViews>
    <sheetView workbookViewId="0">
      <selection activeCell="M24" sqref="M24"/>
    </sheetView>
  </sheetViews>
  <sheetFormatPr defaultRowHeight="15"/>
  <cols>
    <col min="1" max="1" width="47.570312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198</v>
      </c>
    </row>
    <row r="3" spans="1:7">
      <c r="A3" s="1" t="str">
        <f>'Summerhill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 t="s">
        <v>4</v>
      </c>
      <c r="B5" s="8"/>
      <c r="C5" s="8"/>
      <c r="D5" s="8"/>
      <c r="E5" s="8"/>
      <c r="F5" s="8"/>
    </row>
    <row r="6" spans="1:7">
      <c r="A6" s="39" t="s">
        <v>3</v>
      </c>
      <c r="B6" s="8"/>
      <c r="C6" s="8"/>
      <c r="D6" s="8"/>
      <c r="E6" s="8"/>
      <c r="F6" s="8"/>
    </row>
    <row r="7" spans="1:7">
      <c r="A7" s="41"/>
      <c r="B7" s="51"/>
      <c r="C7" s="51"/>
      <c r="D7" s="51"/>
      <c r="E7" s="51"/>
      <c r="F7" s="51"/>
      <c r="G7" s="48"/>
    </row>
    <row r="8" spans="1:7">
      <c r="A8" s="14" t="s">
        <v>6</v>
      </c>
      <c r="B8" s="41"/>
      <c r="C8" s="72"/>
      <c r="D8" s="72"/>
      <c r="E8" s="72"/>
      <c r="F8" s="72"/>
    </row>
    <row r="9" spans="1:7">
      <c r="A9" s="39" t="s">
        <v>3</v>
      </c>
      <c r="B9" s="41"/>
      <c r="C9" s="11"/>
      <c r="D9" s="11"/>
      <c r="E9" s="88"/>
      <c r="F9" s="88"/>
    </row>
    <row r="10" spans="1:7">
      <c r="A10" s="9" t="s">
        <v>323</v>
      </c>
      <c r="B10" s="54">
        <v>12754000</v>
      </c>
      <c r="C10" s="11">
        <f>C12</f>
        <v>1268634</v>
      </c>
      <c r="D10" s="11"/>
      <c r="E10" s="88"/>
      <c r="F10" s="88"/>
      <c r="G10" s="79"/>
    </row>
    <row r="11" spans="1:7">
      <c r="A11" s="9"/>
      <c r="B11" s="54"/>
      <c r="C11" s="41"/>
      <c r="D11" s="41"/>
      <c r="E11" s="41"/>
      <c r="F11" s="41"/>
    </row>
    <row r="12" spans="1:7">
      <c r="A12" s="9"/>
      <c r="B12" s="11">
        <f>SUM(B10:B11)</f>
        <v>12754000</v>
      </c>
      <c r="C12" s="11">
        <f>E12*667</f>
        <v>1268634</v>
      </c>
      <c r="D12" s="11">
        <v>6706</v>
      </c>
      <c r="E12" s="88">
        <f>ROUNDUP(B12/D12,0)</f>
        <v>1902</v>
      </c>
      <c r="F12" s="88">
        <f>ROUND(E12*1.15,0)</f>
        <v>2187</v>
      </c>
    </row>
    <row r="13" spans="1:7">
      <c r="A13" s="14"/>
      <c r="B13" s="41"/>
      <c r="C13" s="54"/>
      <c r="D13" s="11"/>
      <c r="E13" s="88"/>
      <c r="F13" s="88"/>
    </row>
    <row r="14" spans="1:7">
      <c r="A14" s="39" t="s">
        <v>7</v>
      </c>
      <c r="B14" s="41"/>
      <c r="C14" s="41"/>
      <c r="D14" s="41"/>
      <c r="E14" s="41"/>
      <c r="F14" s="41"/>
    </row>
    <row r="15" spans="1:7">
      <c r="A15" s="9" t="s">
        <v>408</v>
      </c>
      <c r="B15" s="54">
        <v>14375</v>
      </c>
      <c r="C15" s="54">
        <f>B15</f>
        <v>14375</v>
      </c>
      <c r="D15" s="41"/>
      <c r="E15" s="41"/>
      <c r="F15" s="41"/>
    </row>
    <row r="16" spans="1:7">
      <c r="A16" s="9"/>
      <c r="B16" s="54">
        <f>SUM(B15:B15)</f>
        <v>14375</v>
      </c>
      <c r="C16" s="54">
        <f>SUM(C15:C15)</f>
        <v>14375</v>
      </c>
      <c r="D16" s="11">
        <v>6706</v>
      </c>
      <c r="E16" s="88">
        <f>ROUND(C16/D16,0)</f>
        <v>2</v>
      </c>
      <c r="F16" s="88">
        <f>ROUND(E16*1.15,0)</f>
        <v>2</v>
      </c>
    </row>
    <row r="17" spans="1:6">
      <c r="A17" s="9"/>
      <c r="B17" s="11"/>
      <c r="C17" s="41"/>
      <c r="D17" s="41"/>
      <c r="E17" s="41"/>
      <c r="F17" s="41"/>
    </row>
    <row r="18" spans="1:6">
      <c r="A18" s="14" t="s">
        <v>184</v>
      </c>
      <c r="B18" s="12"/>
      <c r="C18" s="9"/>
      <c r="D18" s="9"/>
      <c r="E18" s="12">
        <f>SUM(E11:E17)</f>
        <v>1904</v>
      </c>
      <c r="F18" s="12">
        <f>SUM(F11:F17)</f>
        <v>2189</v>
      </c>
    </row>
  </sheetData>
  <customSheetViews>
    <customSheetView guid="{E62C39C8-EAA6-407C-933E-B5BB52ED1B14}" fitToPage="1">
      <selection activeCell="A7" sqref="A7:C7"/>
      <pageMargins left="0.51181102362204722" right="0.51181102362204722" top="0.74803149606299213" bottom="0.74803149606299213" header="0.31496062992125984" footer="0.31496062992125984"/>
      <pageSetup paperSize="9" scale="81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1" orientation="portrait" r:id="rId2"/>
  <headerFooter>
    <oddFooter>&amp;L&amp;"-,Bold"Waimakariri District Council&amp;C&amp;D&amp;RPage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249977111117893"/>
    <pageSetUpPr fitToPage="1"/>
  </sheetPr>
  <dimension ref="A1:G19"/>
  <sheetViews>
    <sheetView workbookViewId="0">
      <selection activeCell="I8" sqref="I8"/>
    </sheetView>
  </sheetViews>
  <sheetFormatPr defaultRowHeight="15"/>
  <cols>
    <col min="1" max="1" width="47.570312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199</v>
      </c>
    </row>
    <row r="3" spans="1:7">
      <c r="A3" s="1" t="str">
        <f>'Cust water'!$A$3</f>
        <v>2023-24 Budget for Annual Plan</v>
      </c>
      <c r="G3" s="84"/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61" t="s">
        <v>4</v>
      </c>
      <c r="B5" s="9"/>
      <c r="C5" s="16"/>
      <c r="D5" s="16"/>
      <c r="E5" s="16"/>
      <c r="F5" s="16"/>
    </row>
    <row r="6" spans="1:7">
      <c r="A6" s="39" t="s">
        <v>3</v>
      </c>
      <c r="B6" s="9"/>
      <c r="C6" s="11"/>
      <c r="D6" s="11"/>
      <c r="E6" s="12"/>
      <c r="F6" s="12"/>
    </row>
    <row r="7" spans="1:7">
      <c r="A7" s="41" t="s">
        <v>57</v>
      </c>
      <c r="B7" s="54">
        <v>70000</v>
      </c>
      <c r="C7" s="41"/>
      <c r="D7" s="41"/>
      <c r="E7" s="41"/>
      <c r="F7" s="41"/>
    </row>
    <row r="8" spans="1:7">
      <c r="A8" s="41"/>
      <c r="B8" s="11">
        <f>SUBTOTAL(9,B7:B7)</f>
        <v>70000</v>
      </c>
      <c r="C8" s="54">
        <f>B8</f>
        <v>70000</v>
      </c>
      <c r="D8" s="11">
        <v>630</v>
      </c>
      <c r="E8" s="88">
        <f>ROUND(B8/D8,0)</f>
        <v>111</v>
      </c>
      <c r="F8" s="88">
        <f>ROUND(E8*1.15,0)</f>
        <v>128</v>
      </c>
    </row>
    <row r="9" spans="1:7">
      <c r="A9" s="42"/>
      <c r="B9" s="41"/>
      <c r="C9" s="54"/>
      <c r="D9" s="11"/>
      <c r="E9" s="88"/>
      <c r="F9" s="88"/>
    </row>
    <row r="10" spans="1:7">
      <c r="A10" s="39" t="s">
        <v>17</v>
      </c>
      <c r="B10" s="41"/>
      <c r="C10" s="54"/>
      <c r="D10" s="11"/>
      <c r="E10" s="88"/>
      <c r="F10" s="88"/>
    </row>
    <row r="11" spans="1:7" ht="45">
      <c r="A11" s="72" t="s">
        <v>475</v>
      </c>
      <c r="B11" s="93">
        <v>119407</v>
      </c>
      <c r="C11" s="54"/>
      <c r="D11" s="11"/>
      <c r="E11" s="88"/>
      <c r="F11" s="88"/>
    </row>
    <row r="12" spans="1:7">
      <c r="A12" s="41"/>
      <c r="B12" s="54">
        <f>SUBTOTAL(9,B11:B11)</f>
        <v>119407</v>
      </c>
      <c r="C12" s="54">
        <f>B12</f>
        <v>119407</v>
      </c>
      <c r="D12" s="11">
        <v>630</v>
      </c>
      <c r="E12" s="88">
        <f>ROUND(B12/D12,0)</f>
        <v>190</v>
      </c>
      <c r="F12" s="88">
        <f>ROUND(E12*1.15,0)</f>
        <v>219</v>
      </c>
    </row>
    <row r="13" spans="1:7">
      <c r="A13" s="41"/>
      <c r="B13" s="54"/>
      <c r="C13" s="54"/>
      <c r="D13" s="11"/>
      <c r="E13" s="88"/>
      <c r="F13" s="88"/>
    </row>
    <row r="14" spans="1:7">
      <c r="A14" s="41" t="s">
        <v>317</v>
      </c>
      <c r="B14" s="54">
        <v>34665</v>
      </c>
      <c r="C14" s="54">
        <f>B14</f>
        <v>34665</v>
      </c>
      <c r="D14" s="11">
        <v>630</v>
      </c>
      <c r="E14" s="88">
        <f>ROUND(B14/D14,0)</f>
        <v>55</v>
      </c>
      <c r="F14" s="88">
        <f>ROUND(E14*1.15,0)</f>
        <v>63</v>
      </c>
      <c r="G14" s="79"/>
    </row>
    <row r="15" spans="1:7">
      <c r="A15" s="9"/>
      <c r="B15" s="11"/>
      <c r="C15" s="9"/>
      <c r="D15" s="9"/>
      <c r="E15" s="9"/>
      <c r="F15" s="9"/>
    </row>
    <row r="16" spans="1:7">
      <c r="A16" s="14" t="s">
        <v>184</v>
      </c>
      <c r="B16" s="11"/>
      <c r="C16" s="9"/>
      <c r="D16" s="9"/>
      <c r="E16" s="12">
        <f>SUM(E7:E15)</f>
        <v>356</v>
      </c>
      <c r="F16" s="12">
        <f>SUM(F7:F15)</f>
        <v>410</v>
      </c>
    </row>
    <row r="17" spans="2:2">
      <c r="B17" s="3"/>
    </row>
    <row r="18" spans="2:2">
      <c r="B18" s="4"/>
    </row>
    <row r="19" spans="2:2">
      <c r="B19" s="4"/>
    </row>
  </sheetData>
  <customSheetViews>
    <customSheetView guid="{E62C39C8-EAA6-407C-933E-B5BB52ED1B14}" fitToPage="1">
      <pageMargins left="0.7" right="0.7" top="0.75" bottom="0.75" header="0.3" footer="0.3"/>
      <pageSetup paperSize="9" scale="77" fitToHeight="0" orientation="portrait" r:id="rId1"/>
    </customSheetView>
  </customSheetViews>
  <pageMargins left="0.7" right="0.7" top="0.75" bottom="0.75" header="0.3" footer="0.3"/>
  <pageSetup paperSize="9" scale="7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F19"/>
  <sheetViews>
    <sheetView workbookViewId="0">
      <selection activeCell="F21" sqref="F21"/>
    </sheetView>
  </sheetViews>
  <sheetFormatPr defaultRowHeight="15"/>
  <cols>
    <col min="1" max="1" width="40.28515625" bestFit="1" customWidth="1"/>
    <col min="2" max="2" width="11.5703125" bestFit="1" customWidth="1"/>
    <col min="3" max="3" width="14.140625" customWidth="1"/>
    <col min="4" max="4" width="13.7109375" customWidth="1"/>
    <col min="5" max="5" width="13.5703125" customWidth="1"/>
    <col min="6" max="6" width="13.85546875" customWidth="1"/>
  </cols>
  <sheetData>
    <row r="1" spans="1:6">
      <c r="A1" s="1" t="s">
        <v>0</v>
      </c>
    </row>
    <row r="2" spans="1:6">
      <c r="A2" s="1" t="s">
        <v>35</v>
      </c>
    </row>
    <row r="3" spans="1:6">
      <c r="A3" s="1" t="str">
        <f>'Cust water'!A3</f>
        <v>2023-24 Budget for Annual Plan</v>
      </c>
    </row>
    <row r="5" spans="1:6" ht="90">
      <c r="A5" s="9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6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/>
      <c r="C8" s="9"/>
      <c r="D8" s="9"/>
      <c r="E8" s="9"/>
      <c r="F8" s="9"/>
    </row>
    <row r="9" spans="1:6">
      <c r="A9" s="9"/>
      <c r="B9" s="91"/>
      <c r="C9" s="41"/>
      <c r="D9" s="41"/>
      <c r="E9" s="41"/>
      <c r="F9" s="41"/>
    </row>
    <row r="10" spans="1:6">
      <c r="A10" s="39" t="s">
        <v>261</v>
      </c>
      <c r="B10" s="91"/>
      <c r="C10" s="41"/>
      <c r="D10" s="41"/>
      <c r="E10" s="41"/>
      <c r="F10" s="41"/>
    </row>
    <row r="11" spans="1:6">
      <c r="A11" s="9" t="s">
        <v>36</v>
      </c>
      <c r="B11" s="91">
        <v>337703</v>
      </c>
      <c r="C11" s="11">
        <f>64*E11</f>
        <v>84096</v>
      </c>
      <c r="D11" s="11">
        <v>257</v>
      </c>
      <c r="E11" s="88">
        <f>ROUND(B11/D11,0)</f>
        <v>1314</v>
      </c>
      <c r="F11" s="88">
        <f>ROUND(E11*1.15,0)</f>
        <v>1511</v>
      </c>
    </row>
    <row r="12" spans="1:6">
      <c r="A12" s="9"/>
      <c r="B12" s="91"/>
      <c r="C12" s="41"/>
      <c r="D12" s="41"/>
      <c r="E12" s="41"/>
      <c r="F12" s="41"/>
    </row>
    <row r="13" spans="1:6">
      <c r="A13" s="9"/>
      <c r="B13" s="9"/>
      <c r="C13" s="9"/>
      <c r="D13" s="9"/>
      <c r="E13" s="9"/>
      <c r="F13" s="9"/>
    </row>
    <row r="14" spans="1:6">
      <c r="A14" s="1" t="s">
        <v>262</v>
      </c>
      <c r="B14" s="9"/>
      <c r="C14" s="9"/>
      <c r="D14" s="9"/>
      <c r="E14" s="9"/>
      <c r="F14" s="9"/>
    </row>
    <row r="15" spans="1:6">
      <c r="A15" s="39" t="s">
        <v>3</v>
      </c>
      <c r="B15" s="9"/>
      <c r="C15" s="9"/>
      <c r="D15" s="9"/>
      <c r="E15" s="9"/>
      <c r="F15" s="9"/>
    </row>
    <row r="16" spans="1:6">
      <c r="A16" s="39"/>
      <c r="B16" s="9"/>
      <c r="C16" s="9"/>
      <c r="D16" s="9">
        <v>64</v>
      </c>
      <c r="E16" s="9"/>
      <c r="F16" s="9"/>
    </row>
    <row r="17" spans="1:6">
      <c r="A17" s="9"/>
      <c r="B17" s="9"/>
      <c r="C17" s="9"/>
      <c r="D17" s="9"/>
      <c r="E17" s="9"/>
      <c r="F17" s="9"/>
    </row>
    <row r="18" spans="1:6">
      <c r="A18" s="9"/>
      <c r="B18" s="11"/>
      <c r="C18" s="9"/>
      <c r="D18" s="9"/>
      <c r="E18" s="9"/>
      <c r="F18" s="9"/>
    </row>
    <row r="19" spans="1:6">
      <c r="A19" s="14" t="s">
        <v>188</v>
      </c>
      <c r="B19" s="9"/>
      <c r="C19" s="9"/>
      <c r="D19" s="9"/>
      <c r="E19" s="12">
        <f>SUM(E11:E18)</f>
        <v>1314</v>
      </c>
      <c r="F19" s="12">
        <f>SUM(F11:F18)</f>
        <v>1511</v>
      </c>
    </row>
  </sheetData>
  <customSheetViews>
    <customSheetView guid="{E62C39C8-EAA6-407C-933E-B5BB52ED1B14}" fitToPage="1">
      <selection activeCell="C20" sqref="C20"/>
      <pageMargins left="0.51181102362204722" right="0.51181102362204722" top="0.74803149606299213" bottom="0.74803149606299213" header="0.31496062992125984" footer="0.31496062992125984"/>
      <pageSetup paperSize="9" scale="86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60" fitToHeight="0" orientation="portrait" r:id="rId2"/>
  <headerFooter>
    <oddFooter>&amp;L&amp;"-,Bold"Waimakariri District Council&amp;C&amp;D&amp;RPage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249977111117893"/>
    <pageSetUpPr fitToPage="1"/>
  </sheetPr>
  <dimension ref="A1:G15"/>
  <sheetViews>
    <sheetView workbookViewId="0">
      <selection activeCell="G22" sqref="G22"/>
    </sheetView>
  </sheetViews>
  <sheetFormatPr defaultRowHeight="15"/>
  <cols>
    <col min="1" max="1" width="60.570312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200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61" t="s">
        <v>4</v>
      </c>
      <c r="B5" s="9"/>
      <c r="C5" s="16"/>
      <c r="D5" s="16"/>
      <c r="E5" s="16"/>
      <c r="F5" s="16"/>
    </row>
    <row r="6" spans="1:7">
      <c r="A6" s="39" t="s">
        <v>3</v>
      </c>
      <c r="B6" s="9"/>
      <c r="C6" s="11"/>
      <c r="D6" s="11"/>
      <c r="E6" s="12"/>
      <c r="F6" s="12"/>
      <c r="G6" s="79"/>
    </row>
    <row r="7" spans="1:7">
      <c r="A7" s="41" t="s">
        <v>252</v>
      </c>
      <c r="B7" s="54"/>
      <c r="C7" s="45"/>
      <c r="D7" s="41"/>
      <c r="E7" s="41"/>
      <c r="F7" s="41"/>
    </row>
    <row r="8" spans="1:7">
      <c r="A8" s="41" t="s">
        <v>107</v>
      </c>
      <c r="B8" s="54">
        <v>794000</v>
      </c>
      <c r="C8" s="45">
        <v>794000</v>
      </c>
      <c r="D8" s="41"/>
      <c r="E8" s="41"/>
      <c r="F8" s="41"/>
    </row>
    <row r="9" spans="1:7">
      <c r="A9" s="41"/>
      <c r="B9" s="11">
        <f>SUBTOTAL(9,B7:B8)</f>
        <v>794000</v>
      </c>
      <c r="C9" s="54">
        <f>B9</f>
        <v>794000</v>
      </c>
      <c r="D9" s="11">
        <v>353</v>
      </c>
      <c r="E9" s="88">
        <f>ROUND(B9/D9,0)</f>
        <v>2249</v>
      </c>
      <c r="F9" s="88">
        <f>ROUND(E9*1.15,0)</f>
        <v>2586</v>
      </c>
    </row>
    <row r="10" spans="1:7">
      <c r="A10" s="42"/>
      <c r="B10" s="41"/>
      <c r="C10" s="54"/>
      <c r="D10" s="11"/>
      <c r="E10" s="88"/>
      <c r="F10" s="88"/>
    </row>
    <row r="11" spans="1:7">
      <c r="A11" s="41"/>
      <c r="B11" s="11"/>
      <c r="C11" s="41"/>
      <c r="D11" s="41"/>
      <c r="E11" s="41"/>
      <c r="F11" s="41"/>
    </row>
    <row r="12" spans="1:7">
      <c r="A12" s="14" t="s">
        <v>184</v>
      </c>
      <c r="B12" s="11"/>
      <c r="C12" s="9"/>
      <c r="D12" s="9"/>
      <c r="E12" s="12">
        <f>SUM(E7:E11)</f>
        <v>2249</v>
      </c>
      <c r="F12" s="12">
        <f>SUM(F7:F11)</f>
        <v>2586</v>
      </c>
    </row>
    <row r="13" spans="1:7">
      <c r="B13" s="3"/>
    </row>
    <row r="14" spans="1:7">
      <c r="B14" s="4"/>
    </row>
    <row r="15" spans="1:7">
      <c r="B15" s="4"/>
    </row>
  </sheetData>
  <customSheetViews>
    <customSheetView guid="{E62C39C8-EAA6-407C-933E-B5BB52ED1B14}" fitToPage="1">
      <pageMargins left="0.7" right="0.7" top="0.75" bottom="0.75" header="0.3" footer="0.3"/>
      <pageSetup paperSize="9" scale="77" fitToHeight="0" orientation="portrait" r:id="rId1"/>
    </customSheetView>
  </customSheetViews>
  <pageMargins left="0.7" right="0.7" top="0.75" bottom="0.75" header="0.3" footer="0.3"/>
  <pageSetup paperSize="9" scale="77" fitToHeight="0"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249977111117893"/>
    <pageSetUpPr fitToPage="1"/>
  </sheetPr>
  <dimension ref="A1:G18"/>
  <sheetViews>
    <sheetView workbookViewId="0">
      <selection activeCell="J21" sqref="J21"/>
    </sheetView>
  </sheetViews>
  <sheetFormatPr defaultRowHeight="15"/>
  <cols>
    <col min="1" max="1" width="72" bestFit="1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201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 t="s">
        <v>4</v>
      </c>
      <c r="B5" s="9"/>
      <c r="C5" s="16"/>
      <c r="D5" s="16"/>
      <c r="E5" s="16"/>
      <c r="F5" s="16"/>
    </row>
    <row r="6" spans="1:7">
      <c r="A6" s="39" t="s">
        <v>3</v>
      </c>
      <c r="B6" s="9"/>
      <c r="C6" s="11"/>
      <c r="D6" s="11"/>
      <c r="E6" s="12"/>
      <c r="F6" s="12"/>
    </row>
    <row r="7" spans="1:7">
      <c r="B7" s="77"/>
      <c r="C7" s="9"/>
      <c r="D7" s="9"/>
      <c r="E7" s="9"/>
      <c r="F7" s="9"/>
    </row>
    <row r="8" spans="1:7">
      <c r="A8" s="97"/>
      <c r="B8" s="54"/>
      <c r="C8" s="41"/>
      <c r="D8" s="41"/>
      <c r="E8" s="41"/>
      <c r="F8" s="41"/>
    </row>
    <row r="9" spans="1:7">
      <c r="A9" s="39" t="s">
        <v>2</v>
      </c>
      <c r="B9" s="54"/>
      <c r="C9" s="41"/>
      <c r="D9" s="41"/>
      <c r="E9" s="41"/>
      <c r="F9" s="41"/>
    </row>
    <row r="10" spans="1:7">
      <c r="A10" s="41" t="s">
        <v>241</v>
      </c>
      <c r="B10" s="54">
        <v>624242</v>
      </c>
      <c r="C10" s="41"/>
      <c r="D10" s="41"/>
      <c r="E10" s="41"/>
      <c r="F10" s="41"/>
      <c r="G10" s="31"/>
    </row>
    <row r="11" spans="1:7">
      <c r="A11" s="41" t="s">
        <v>479</v>
      </c>
      <c r="B11" s="54">
        <v>149806</v>
      </c>
      <c r="C11" s="41"/>
      <c r="D11" s="41"/>
      <c r="E11" s="41"/>
      <c r="F11" s="41"/>
    </row>
    <row r="12" spans="1:7">
      <c r="A12" s="41"/>
      <c r="B12" s="11">
        <f>SUBTOTAL(9,B7:B11)</f>
        <v>774048</v>
      </c>
      <c r="C12" s="54">
        <f>B12</f>
        <v>774048</v>
      </c>
      <c r="D12" s="11">
        <v>464</v>
      </c>
      <c r="E12" s="88">
        <f>ROUND(B12/D12,0)</f>
        <v>1668</v>
      </c>
      <c r="F12" s="88">
        <f>ROUND(E12*1.15,0)</f>
        <v>1918</v>
      </c>
    </row>
    <row r="13" spans="1:7">
      <c r="A13" s="42"/>
      <c r="B13" s="41"/>
      <c r="C13" s="54"/>
      <c r="D13" s="11"/>
      <c r="E13" s="88"/>
      <c r="F13" s="88"/>
    </row>
    <row r="14" spans="1:7">
      <c r="A14" s="9"/>
      <c r="B14" s="11"/>
      <c r="C14" s="9"/>
      <c r="D14" s="9"/>
      <c r="E14" s="9"/>
      <c r="F14" s="9"/>
    </row>
    <row r="15" spans="1:7">
      <c r="A15" s="14" t="s">
        <v>184</v>
      </c>
      <c r="B15" s="11"/>
      <c r="C15" s="9"/>
      <c r="D15" s="9"/>
      <c r="E15" s="12">
        <f>SUM(E7:E14)</f>
        <v>1668</v>
      </c>
      <c r="F15" s="12">
        <f>SUM(F7:F14)</f>
        <v>1918</v>
      </c>
    </row>
    <row r="16" spans="1:7">
      <c r="B16" s="3"/>
    </row>
    <row r="17" spans="1:2">
      <c r="A17" s="81"/>
      <c r="B17" s="4"/>
    </row>
    <row r="18" spans="1:2">
      <c r="B18" s="4"/>
    </row>
  </sheetData>
  <customSheetViews>
    <customSheetView guid="{E62C39C8-EAA6-407C-933E-B5BB52ED1B14}" fitToPage="1">
      <selection activeCell="A9" sqref="A9"/>
      <pageMargins left="0.51181102362204722" right="0.51181102362204722" top="0.74803149606299213" bottom="0.74803149606299213" header="0.31496062992125984" footer="0.31496062992125984"/>
      <pageSetup paperSize="9" scale="81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4" orientation="portrait" r:id="rId2"/>
  <headerFooter>
    <oddFooter>&amp;L&amp;"-,Bold"Waimakariri District Council&amp;C&amp;D&amp;RPage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2" tint="-0.249977111117893"/>
    <pageSetUpPr fitToPage="1"/>
  </sheetPr>
  <dimension ref="A1:G33"/>
  <sheetViews>
    <sheetView workbookViewId="0">
      <selection activeCell="K22" sqref="K22"/>
    </sheetView>
  </sheetViews>
  <sheetFormatPr defaultRowHeight="15"/>
  <cols>
    <col min="1" max="1" width="47.5703125" customWidth="1"/>
    <col min="2" max="2" width="11.5703125" bestFit="1" customWidth="1"/>
    <col min="3" max="6" width="14.7109375" customWidth="1"/>
    <col min="7" max="7" width="0" hidden="1" customWidth="1"/>
  </cols>
  <sheetData>
    <row r="1" spans="1:7">
      <c r="A1" s="1" t="s">
        <v>0</v>
      </c>
    </row>
    <row r="2" spans="1:7">
      <c r="A2" s="1" t="s">
        <v>202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 t="s">
        <v>58</v>
      </c>
      <c r="B5" s="9"/>
      <c r="C5" s="9"/>
      <c r="D5" s="9"/>
      <c r="E5" s="9"/>
      <c r="F5" s="9"/>
    </row>
    <row r="6" spans="1:7">
      <c r="A6" s="39" t="s">
        <v>3</v>
      </c>
      <c r="B6" s="9"/>
      <c r="C6" s="14"/>
      <c r="D6" s="9"/>
      <c r="E6" s="9"/>
      <c r="F6" s="9"/>
    </row>
    <row r="7" spans="1:7">
      <c r="A7" s="9"/>
      <c r="B7" s="11"/>
      <c r="C7" s="10"/>
      <c r="D7" s="9"/>
      <c r="E7" s="9"/>
      <c r="F7" s="9"/>
    </row>
    <row r="8" spans="1:7">
      <c r="A8" s="39" t="s">
        <v>17</v>
      </c>
      <c r="B8" s="54"/>
      <c r="C8" s="54"/>
      <c r="D8" s="41"/>
      <c r="E8" s="88"/>
      <c r="F8" s="88">
        <f t="shared" ref="F8:F14" si="0">ROUNDUP(E8*1.15,0)</f>
        <v>0</v>
      </c>
    </row>
    <row r="9" spans="1:7">
      <c r="A9" s="9" t="s">
        <v>255</v>
      </c>
      <c r="B9" s="54">
        <v>5191576</v>
      </c>
      <c r="C9" s="45">
        <f t="shared" ref="C9:C14" si="1">B9-C21</f>
        <v>519157.59999999963</v>
      </c>
      <c r="D9" s="41">
        <v>410</v>
      </c>
      <c r="E9" s="88">
        <f>C9/D9</f>
        <v>1266.2380487804869</v>
      </c>
      <c r="F9" s="88">
        <f t="shared" si="0"/>
        <v>1457</v>
      </c>
    </row>
    <row r="10" spans="1:7">
      <c r="A10" s="9" t="s">
        <v>305</v>
      </c>
      <c r="B10" s="54">
        <v>1246204</v>
      </c>
      <c r="C10" s="54">
        <f t="shared" si="1"/>
        <v>124620.39999999991</v>
      </c>
      <c r="D10" s="41">
        <v>410</v>
      </c>
      <c r="E10" s="88">
        <f t="shared" ref="E10:E14" si="2">C10/D10</f>
        <v>303.95219512195098</v>
      </c>
      <c r="F10" s="88">
        <f t="shared" si="0"/>
        <v>350</v>
      </c>
      <c r="G10" s="31"/>
    </row>
    <row r="11" spans="1:7">
      <c r="A11" s="9" t="s">
        <v>295</v>
      </c>
      <c r="B11" s="54">
        <v>293046</v>
      </c>
      <c r="C11" s="54">
        <f t="shared" si="1"/>
        <v>29304.599999999977</v>
      </c>
      <c r="D11" s="41">
        <v>410</v>
      </c>
      <c r="E11" s="88">
        <f t="shared" si="2"/>
        <v>71.474634146341401</v>
      </c>
      <c r="F11" s="88">
        <f t="shared" si="0"/>
        <v>83</v>
      </c>
      <c r="G11" s="31"/>
    </row>
    <row r="12" spans="1:7">
      <c r="A12" s="9" t="s">
        <v>310</v>
      </c>
      <c r="B12" s="54">
        <v>50831</v>
      </c>
      <c r="C12" s="54">
        <f t="shared" si="1"/>
        <v>5083.0999999999985</v>
      </c>
      <c r="D12" s="41">
        <v>410</v>
      </c>
      <c r="E12" s="88">
        <f t="shared" si="2"/>
        <v>12.397804878048778</v>
      </c>
      <c r="F12" s="88">
        <f t="shared" si="0"/>
        <v>15</v>
      </c>
      <c r="G12" s="31"/>
    </row>
    <row r="13" spans="1:7">
      <c r="A13" s="9" t="s">
        <v>250</v>
      </c>
      <c r="B13" s="54">
        <v>357120</v>
      </c>
      <c r="C13" s="54">
        <f t="shared" si="1"/>
        <v>35712</v>
      </c>
      <c r="D13" s="41">
        <v>410</v>
      </c>
      <c r="E13" s="88">
        <f t="shared" si="2"/>
        <v>87.10243902439025</v>
      </c>
      <c r="F13" s="88">
        <f t="shared" si="0"/>
        <v>101</v>
      </c>
      <c r="G13" s="31"/>
    </row>
    <row r="14" spans="1:7">
      <c r="A14" s="9" t="s">
        <v>316</v>
      </c>
      <c r="B14" s="54">
        <f>B26</f>
        <v>-489800</v>
      </c>
      <c r="C14" s="54">
        <f t="shared" si="1"/>
        <v>-48980</v>
      </c>
      <c r="D14" s="41">
        <v>410</v>
      </c>
      <c r="E14" s="54">
        <f t="shared" si="2"/>
        <v>-119.46341463414635</v>
      </c>
      <c r="F14" s="54">
        <f t="shared" si="0"/>
        <v>-138</v>
      </c>
      <c r="G14" s="31"/>
    </row>
    <row r="15" spans="1:7">
      <c r="A15" s="9"/>
      <c r="B15" s="54"/>
      <c r="C15" s="54"/>
      <c r="D15" s="41"/>
      <c r="E15" s="88">
        <f>ROUND(SUM(E7:E14),0)</f>
        <v>1622</v>
      </c>
      <c r="F15" s="88">
        <f>SUM(F7:F14)</f>
        <v>1868</v>
      </c>
    </row>
    <row r="16" spans="1:7">
      <c r="A16" s="9"/>
      <c r="B16" s="41"/>
      <c r="C16" s="41"/>
      <c r="D16" s="41"/>
      <c r="E16" s="41"/>
      <c r="F16" s="41"/>
    </row>
    <row r="17" spans="1:7">
      <c r="A17" s="14" t="s">
        <v>122</v>
      </c>
      <c r="B17" s="41"/>
      <c r="C17" s="41"/>
      <c r="D17" s="41"/>
      <c r="E17" s="41"/>
      <c r="F17" s="41"/>
    </row>
    <row r="18" spans="1:7">
      <c r="A18" s="39" t="s">
        <v>3</v>
      </c>
      <c r="B18" s="41"/>
      <c r="C18" s="41"/>
      <c r="D18" s="41"/>
      <c r="E18" s="41"/>
      <c r="F18" s="41"/>
    </row>
    <row r="19" spans="1:7">
      <c r="A19" s="9"/>
      <c r="B19" s="54"/>
      <c r="C19" s="45"/>
      <c r="D19" s="41"/>
      <c r="E19" s="88"/>
      <c r="F19" s="88"/>
    </row>
    <row r="20" spans="1:7">
      <c r="A20" s="39" t="s">
        <v>17</v>
      </c>
      <c r="B20" s="54"/>
      <c r="C20" s="41"/>
      <c r="D20" s="41"/>
      <c r="E20" s="41"/>
      <c r="F20" s="41"/>
    </row>
    <row r="21" spans="1:7">
      <c r="A21" s="9" t="s">
        <v>255</v>
      </c>
      <c r="B21" s="54">
        <f>B9</f>
        <v>5191576</v>
      </c>
      <c r="C21" s="45">
        <f>0.9*B21</f>
        <v>4672418.4000000004</v>
      </c>
      <c r="D21" s="41">
        <v>422</v>
      </c>
      <c r="E21" s="88">
        <f t="shared" ref="E21:E26" si="3">C21/D21</f>
        <v>11072.081516587679</v>
      </c>
      <c r="F21" s="88">
        <f t="shared" ref="F21:F26" si="4">E21*1.15</f>
        <v>12732.893744075831</v>
      </c>
      <c r="G21">
        <v>0.9</v>
      </c>
    </row>
    <row r="22" spans="1:7">
      <c r="A22" s="9" t="s">
        <v>305</v>
      </c>
      <c r="B22" s="54">
        <f>B10</f>
        <v>1246204</v>
      </c>
      <c r="C22" s="45">
        <f>B22*G$21</f>
        <v>1121583.6000000001</v>
      </c>
      <c r="D22" s="41">
        <v>422</v>
      </c>
      <c r="E22" s="88">
        <f t="shared" si="3"/>
        <v>2657.7810426540286</v>
      </c>
      <c r="F22" s="88">
        <f t="shared" si="4"/>
        <v>3056.4481990521326</v>
      </c>
    </row>
    <row r="23" spans="1:7">
      <c r="A23" s="9" t="s">
        <v>304</v>
      </c>
      <c r="B23" s="54">
        <f>B11</f>
        <v>293046</v>
      </c>
      <c r="C23" s="45">
        <f>B23*G$21</f>
        <v>263741.40000000002</v>
      </c>
      <c r="D23" s="41">
        <v>422</v>
      </c>
      <c r="E23" s="88">
        <f t="shared" si="3"/>
        <v>624.97962085308063</v>
      </c>
      <c r="F23" s="88">
        <f t="shared" si="4"/>
        <v>718.72656398104266</v>
      </c>
    </row>
    <row r="24" spans="1:7">
      <c r="A24" s="9" t="s">
        <v>310</v>
      </c>
      <c r="B24" s="54">
        <f t="shared" ref="B24:B25" si="5">B12</f>
        <v>50831</v>
      </c>
      <c r="C24" s="45">
        <f>B24*G$21</f>
        <v>45747.9</v>
      </c>
      <c r="D24" s="41">
        <v>422</v>
      </c>
      <c r="E24" s="88">
        <f t="shared" si="3"/>
        <v>108.40734597156398</v>
      </c>
      <c r="F24" s="88">
        <f t="shared" si="4"/>
        <v>124.66844786729857</v>
      </c>
    </row>
    <row r="25" spans="1:7">
      <c r="A25" s="9" t="s">
        <v>250</v>
      </c>
      <c r="B25" s="54">
        <f t="shared" si="5"/>
        <v>357120</v>
      </c>
      <c r="C25" s="45">
        <f>B25*G$21</f>
        <v>321408</v>
      </c>
      <c r="D25" s="41">
        <v>422</v>
      </c>
      <c r="E25" s="88">
        <f t="shared" si="3"/>
        <v>761.63033175355451</v>
      </c>
      <c r="F25" s="88">
        <f t="shared" si="4"/>
        <v>875.87488151658761</v>
      </c>
    </row>
    <row r="26" spans="1:7">
      <c r="A26" s="9" t="str">
        <f>A14</f>
        <v>Sale of surplus land</v>
      </c>
      <c r="B26" s="54">
        <v>-489800</v>
      </c>
      <c r="C26" s="54">
        <f>B26*G$21</f>
        <v>-440820</v>
      </c>
      <c r="D26" s="41">
        <v>422</v>
      </c>
      <c r="E26" s="54">
        <f t="shared" si="3"/>
        <v>-1044.5971563981043</v>
      </c>
      <c r="F26" s="54">
        <f t="shared" si="4"/>
        <v>-1201.2867298578199</v>
      </c>
    </row>
    <row r="27" spans="1:7">
      <c r="A27" s="9"/>
      <c r="B27" s="54"/>
      <c r="C27" s="41"/>
      <c r="D27" s="41"/>
      <c r="E27" s="41"/>
      <c r="F27" s="41"/>
    </row>
    <row r="28" spans="1:7">
      <c r="A28" s="9"/>
      <c r="B28" s="10">
        <f>SUM(B19:B21)</f>
        <v>5191576</v>
      </c>
      <c r="C28" s="10">
        <f>SUM(C19:C21)</f>
        <v>4672418.4000000004</v>
      </c>
      <c r="D28" s="11"/>
      <c r="E28" s="12">
        <f>ROUND(SUM(E19:E26),0)</f>
        <v>14180</v>
      </c>
      <c r="F28" s="12">
        <f>ROUND(E28*1.15,0)</f>
        <v>16307</v>
      </c>
    </row>
    <row r="29" spans="1:7">
      <c r="A29" s="1"/>
    </row>
    <row r="30" spans="1:7">
      <c r="C30" s="82"/>
      <c r="D30" s="83"/>
    </row>
    <row r="31" spans="1:7">
      <c r="B31" s="3"/>
    </row>
    <row r="33" spans="2:2">
      <c r="B33" s="3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78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6" orientation="portrait" r:id="rId2"/>
  <headerFooter>
    <oddFooter>&amp;L&amp;"-,Bold"Waimakariri District Council&amp;C&amp;D&amp;RPage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2" tint="-0.249977111117893"/>
    <pageSetUpPr fitToPage="1"/>
  </sheetPr>
  <dimension ref="A1:G20"/>
  <sheetViews>
    <sheetView topLeftCell="A4" workbookViewId="0">
      <selection activeCell="B13" sqref="B13"/>
    </sheetView>
  </sheetViews>
  <sheetFormatPr defaultRowHeight="15"/>
  <cols>
    <col min="1" max="1" width="47.570312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203</v>
      </c>
    </row>
    <row r="3" spans="1:7">
      <c r="A3" s="1" t="s">
        <v>381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/>
      <c r="B5" s="9"/>
      <c r="C5" s="16"/>
      <c r="D5" s="16"/>
      <c r="E5" s="16"/>
      <c r="F5" s="16"/>
    </row>
    <row r="6" spans="1:7">
      <c r="A6" s="14" t="s">
        <v>75</v>
      </c>
      <c r="B6" s="9"/>
      <c r="C6" s="11"/>
      <c r="D6" s="11"/>
      <c r="E6" s="12"/>
      <c r="F6" s="12"/>
    </row>
    <row r="7" spans="1:7">
      <c r="A7" s="42" t="s">
        <v>110</v>
      </c>
      <c r="B7" s="9"/>
      <c r="C7" s="9"/>
      <c r="D7" s="9"/>
      <c r="E7" s="9"/>
      <c r="F7" s="9"/>
    </row>
    <row r="8" spans="1:7">
      <c r="A8" s="39" t="s">
        <v>3</v>
      </c>
      <c r="B8" s="9"/>
      <c r="C8" s="9"/>
      <c r="D8" s="9"/>
      <c r="E8" s="9"/>
      <c r="F8" s="9"/>
    </row>
    <row r="9" spans="1:7">
      <c r="A9" s="39"/>
      <c r="B9" s="41"/>
      <c r="C9" s="41"/>
      <c r="D9" s="41"/>
      <c r="E9" s="41"/>
      <c r="F9" s="41"/>
    </row>
    <row r="10" spans="1:7">
      <c r="A10" s="39" t="s">
        <v>2</v>
      </c>
      <c r="B10" s="54"/>
      <c r="C10" s="41"/>
      <c r="D10" s="41"/>
      <c r="E10" s="41"/>
      <c r="F10" s="41"/>
    </row>
    <row r="11" spans="1:7">
      <c r="A11" s="41" t="s">
        <v>409</v>
      </c>
      <c r="B11" s="54">
        <v>81574</v>
      </c>
      <c r="C11" s="54">
        <f>B11</f>
        <v>81574</v>
      </c>
      <c r="D11" s="41"/>
      <c r="E11" s="41"/>
      <c r="F11" s="41"/>
    </row>
    <row r="12" spans="1:7">
      <c r="A12" s="9" t="s">
        <v>248</v>
      </c>
      <c r="B12" s="54">
        <v>113785</v>
      </c>
      <c r="C12" s="45">
        <f>B12</f>
        <v>113785</v>
      </c>
      <c r="D12" s="41"/>
      <c r="E12" s="41"/>
      <c r="F12" s="41"/>
      <c r="G12" s="31"/>
    </row>
    <row r="13" spans="1:7">
      <c r="A13" s="9"/>
      <c r="B13" s="11">
        <f>SUM(B11:B12)</f>
        <v>195359</v>
      </c>
      <c r="C13" s="54">
        <f>SUM(C11:C12)</f>
        <v>195359</v>
      </c>
      <c r="D13" s="11">
        <v>50</v>
      </c>
      <c r="E13" s="88">
        <f>ROUND(C13/D13,0)</f>
        <v>3907</v>
      </c>
      <c r="F13" s="88">
        <f>ROUND(E13*1.15,0)</f>
        <v>4493</v>
      </c>
    </row>
    <row r="14" spans="1:7">
      <c r="A14" s="42" t="s">
        <v>6</v>
      </c>
      <c r="B14" s="11"/>
      <c r="C14" s="54"/>
      <c r="D14" s="11"/>
      <c r="E14" s="88"/>
      <c r="F14" s="88"/>
    </row>
    <row r="15" spans="1:7">
      <c r="A15" s="39" t="s">
        <v>17</v>
      </c>
      <c r="B15" s="41"/>
      <c r="C15" s="41"/>
      <c r="D15" s="41"/>
      <c r="E15" s="41"/>
      <c r="F15" s="41"/>
    </row>
    <row r="16" spans="1:7">
      <c r="A16" s="9" t="s">
        <v>364</v>
      </c>
      <c r="B16" s="54">
        <v>78195</v>
      </c>
      <c r="C16" s="41"/>
      <c r="D16" s="41">
        <v>957</v>
      </c>
      <c r="E16" s="88">
        <f>ROUNDDOWN(B16/D16,0)</f>
        <v>81</v>
      </c>
      <c r="F16" s="88">
        <f>ROUNDDOWN(E16*1.15,0)</f>
        <v>93</v>
      </c>
      <c r="G16" s="48"/>
    </row>
    <row r="17" spans="1:6">
      <c r="A17" s="9"/>
      <c r="B17" s="54"/>
      <c r="C17" s="41"/>
      <c r="D17" s="41"/>
      <c r="E17" s="88"/>
      <c r="F17" s="88"/>
    </row>
    <row r="18" spans="1:6">
      <c r="A18" s="14"/>
      <c r="B18" s="41"/>
      <c r="C18" s="41"/>
      <c r="D18" s="41"/>
      <c r="E18" s="41"/>
      <c r="F18" s="41"/>
    </row>
    <row r="19" spans="1:6">
      <c r="A19" s="9"/>
      <c r="B19" s="9"/>
      <c r="C19" s="9"/>
      <c r="D19" s="9"/>
      <c r="E19" s="9"/>
      <c r="F19" s="9"/>
    </row>
    <row r="20" spans="1:6">
      <c r="A20" s="14" t="s">
        <v>184</v>
      </c>
      <c r="B20" s="9"/>
      <c r="C20" s="9"/>
      <c r="D20" s="9"/>
      <c r="E20" s="12">
        <f>SUM(E12:E18)</f>
        <v>3988</v>
      </c>
      <c r="F20" s="12">
        <f>SUM(F12:F18)</f>
        <v>4586</v>
      </c>
    </row>
  </sheetData>
  <customSheetViews>
    <customSheetView guid="{E62C39C8-EAA6-407C-933E-B5BB52ED1B14}" fitToPage="1">
      <selection activeCell="D25" sqref="D25"/>
      <pageMargins left="0.7" right="0.7" top="0.75" bottom="0.75" header="0.3" footer="0.3"/>
      <pageSetup paperSize="9" scale="77" fitToHeight="0" orientation="portrait" r:id="rId1"/>
    </customSheetView>
  </customSheetViews>
  <pageMargins left="0.7" right="0.7" top="0.75" bottom="0.75" header="0.3" footer="0.3"/>
  <pageSetup paperSize="9" scale="44" fitToHeight="0"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2" tint="-0.249977111117893"/>
    <pageSetUpPr fitToPage="1"/>
  </sheetPr>
  <dimension ref="A1:J32"/>
  <sheetViews>
    <sheetView topLeftCell="A4" workbookViewId="0">
      <selection activeCell="J36" sqref="J36"/>
    </sheetView>
  </sheetViews>
  <sheetFormatPr defaultRowHeight="15"/>
  <cols>
    <col min="1" max="1" width="62.28515625" customWidth="1"/>
    <col min="2" max="2" width="13.2851562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10.42578125" customWidth="1"/>
    <col min="10" max="10" width="10.5703125" bestFit="1" customWidth="1"/>
  </cols>
  <sheetData>
    <row r="1" spans="1:10">
      <c r="A1" s="1" t="s">
        <v>0</v>
      </c>
    </row>
    <row r="2" spans="1:10">
      <c r="A2" s="1" t="s">
        <v>204</v>
      </c>
    </row>
    <row r="3" spans="1:10">
      <c r="A3" s="1" t="s">
        <v>381</v>
      </c>
    </row>
    <row r="4" spans="1:10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10">
      <c r="A5" s="9"/>
      <c r="B5" s="9"/>
      <c r="C5" s="16"/>
      <c r="D5" s="16"/>
      <c r="E5" s="16"/>
      <c r="F5" s="16"/>
    </row>
    <row r="6" spans="1:10">
      <c r="A6" s="14" t="s">
        <v>4</v>
      </c>
      <c r="B6" s="9"/>
      <c r="C6" s="11"/>
      <c r="D6" s="11"/>
      <c r="E6" s="12"/>
      <c r="F6" s="12"/>
    </row>
    <row r="7" spans="1:10">
      <c r="A7" s="39" t="s">
        <v>3</v>
      </c>
      <c r="B7" s="41"/>
      <c r="C7" s="41"/>
      <c r="D7" s="41"/>
      <c r="E7" s="41"/>
      <c r="F7" s="41"/>
    </row>
    <row r="8" spans="1:10">
      <c r="A8" s="41" t="s">
        <v>463</v>
      </c>
      <c r="B8" s="54">
        <v>1129000</v>
      </c>
      <c r="C8" s="94">
        <f>B8</f>
        <v>1129000</v>
      </c>
      <c r="D8" s="41"/>
      <c r="E8" s="41"/>
      <c r="F8" s="41"/>
      <c r="G8" s="48"/>
    </row>
    <row r="9" spans="1:10">
      <c r="A9" s="41"/>
      <c r="B9" s="54"/>
      <c r="C9" s="98"/>
      <c r="D9" s="41"/>
      <c r="E9" s="88"/>
      <c r="F9" s="88"/>
    </row>
    <row r="10" spans="1:10">
      <c r="A10" s="39" t="s">
        <v>7</v>
      </c>
      <c r="B10" s="54"/>
      <c r="C10" s="98"/>
      <c r="D10" s="41"/>
      <c r="E10" s="88"/>
      <c r="F10" s="88"/>
    </row>
    <row r="11" spans="1:10">
      <c r="A11" s="41" t="s">
        <v>476</v>
      </c>
      <c r="B11" s="11">
        <f>1027333-50000</f>
        <v>977333</v>
      </c>
      <c r="C11" s="54">
        <f>B11</f>
        <v>977333</v>
      </c>
      <c r="D11" s="11"/>
      <c r="E11" s="88"/>
      <c r="F11" s="88"/>
      <c r="J11" s="2"/>
    </row>
    <row r="12" spans="1:10">
      <c r="A12" s="41" t="s">
        <v>365</v>
      </c>
      <c r="B12" s="11">
        <f>669103-46675</f>
        <v>622428</v>
      </c>
      <c r="C12" s="54">
        <f>B12</f>
        <v>622428</v>
      </c>
      <c r="D12" s="11"/>
      <c r="E12" s="88"/>
      <c r="F12" s="88"/>
      <c r="J12" s="2"/>
    </row>
    <row r="13" spans="1:10">
      <c r="A13" s="41" t="s">
        <v>410</v>
      </c>
      <c r="B13" s="11">
        <v>711860</v>
      </c>
      <c r="C13" s="54">
        <f>B13</f>
        <v>711860</v>
      </c>
      <c r="D13" s="11"/>
      <c r="E13" s="88"/>
      <c r="F13" s="88"/>
    </row>
    <row r="14" spans="1:10">
      <c r="A14" s="41"/>
      <c r="B14" s="11">
        <f>SUM(B8:B13)</f>
        <v>3440621</v>
      </c>
      <c r="C14" s="11">
        <f>SUM(C8:C13)</f>
        <v>3440621</v>
      </c>
      <c r="D14" s="11">
        <v>2188</v>
      </c>
      <c r="E14" s="88">
        <f>ROUND(C14/D14,0)</f>
        <v>1572</v>
      </c>
      <c r="F14" s="88">
        <f>ROUND(E14*1.15,0)</f>
        <v>1808</v>
      </c>
    </row>
    <row r="15" spans="1:10">
      <c r="A15" s="41"/>
      <c r="B15" s="41"/>
      <c r="C15" s="41"/>
      <c r="D15" s="41"/>
      <c r="E15" s="41"/>
      <c r="F15" s="41"/>
      <c r="J15" s="2"/>
    </row>
    <row r="16" spans="1:10">
      <c r="A16" s="42" t="s">
        <v>6</v>
      </c>
      <c r="B16" s="41"/>
      <c r="C16" s="41"/>
      <c r="D16" s="41"/>
      <c r="E16" s="41"/>
      <c r="F16" s="41"/>
      <c r="J16" s="2"/>
    </row>
    <row r="17" spans="1:6">
      <c r="A17" s="39" t="s">
        <v>3</v>
      </c>
      <c r="B17" s="54"/>
      <c r="C17" s="41"/>
      <c r="D17" s="41"/>
      <c r="E17" s="41"/>
      <c r="F17" s="41"/>
    </row>
    <row r="18" spans="1:6">
      <c r="A18" s="41" t="s">
        <v>291</v>
      </c>
      <c r="B18" s="54">
        <v>28000</v>
      </c>
      <c r="C18" s="94"/>
      <c r="D18" s="41"/>
      <c r="E18" s="88"/>
      <c r="F18" s="88"/>
    </row>
    <row r="19" spans="1:6">
      <c r="A19" s="41" t="s">
        <v>292</v>
      </c>
      <c r="B19" s="54">
        <v>95000</v>
      </c>
      <c r="C19" s="94"/>
      <c r="D19" s="41"/>
      <c r="E19" s="88"/>
      <c r="F19" s="88"/>
    </row>
    <row r="20" spans="1:6">
      <c r="A20" s="41"/>
      <c r="B20" s="54">
        <f>SUM(B18:B19)</f>
        <v>123000</v>
      </c>
      <c r="C20" s="88">
        <f>(D14/D20)*B20</f>
        <v>21791.417004048581</v>
      </c>
      <c r="D20" s="11">
        <v>12350</v>
      </c>
      <c r="E20" s="88">
        <f>ROUND(B20/D20,0)</f>
        <v>10</v>
      </c>
      <c r="F20" s="88">
        <f>E20*1.15</f>
        <v>11.5</v>
      </c>
    </row>
    <row r="21" spans="1:6">
      <c r="A21" s="41"/>
      <c r="B21" s="41"/>
      <c r="C21" s="41"/>
      <c r="D21" s="41"/>
      <c r="E21" s="41"/>
      <c r="F21" s="41"/>
    </row>
    <row r="22" spans="1:6">
      <c r="A22" s="41"/>
      <c r="B22" s="41"/>
      <c r="C22" s="41"/>
      <c r="D22" s="41"/>
      <c r="E22" s="41"/>
      <c r="F22" s="41"/>
    </row>
    <row r="23" spans="1:6">
      <c r="A23" s="39" t="s">
        <v>7</v>
      </c>
      <c r="B23" s="41"/>
      <c r="C23" s="41"/>
      <c r="D23" s="41"/>
      <c r="E23" s="41"/>
      <c r="F23" s="41"/>
    </row>
    <row r="24" spans="1:6">
      <c r="A24" s="41" t="s">
        <v>108</v>
      </c>
      <c r="B24" s="11">
        <v>75477</v>
      </c>
      <c r="C24" s="54"/>
      <c r="D24" s="11"/>
      <c r="E24" s="88"/>
      <c r="F24" s="88"/>
    </row>
    <row r="25" spans="1:6">
      <c r="A25" s="41" t="s">
        <v>338</v>
      </c>
      <c r="B25" s="11">
        <v>327707</v>
      </c>
      <c r="C25" s="54"/>
      <c r="D25" s="11"/>
      <c r="E25" s="88"/>
      <c r="F25" s="88"/>
    </row>
    <row r="26" spans="1:6">
      <c r="A26" s="41" t="s">
        <v>365</v>
      </c>
      <c r="B26" s="91">
        <v>46837</v>
      </c>
      <c r="C26" s="41"/>
      <c r="D26" s="41"/>
      <c r="E26" s="41"/>
      <c r="F26" s="41"/>
    </row>
    <row r="27" spans="1:6">
      <c r="A27" s="41" t="s">
        <v>410</v>
      </c>
      <c r="B27" s="91">
        <v>70672</v>
      </c>
      <c r="C27" s="41"/>
      <c r="D27" s="41"/>
      <c r="E27" s="41"/>
      <c r="F27" s="41"/>
    </row>
    <row r="28" spans="1:6">
      <c r="A28" s="41" t="s">
        <v>519</v>
      </c>
      <c r="B28" s="91">
        <v>91756</v>
      </c>
      <c r="C28" s="41"/>
      <c r="D28" s="41"/>
      <c r="E28" s="41"/>
      <c r="F28" s="41"/>
    </row>
    <row r="29" spans="1:6">
      <c r="A29" s="41"/>
      <c r="B29" s="54">
        <f>SUM(B24:B28)</f>
        <v>612449</v>
      </c>
      <c r="C29" s="54">
        <f>ROUND(D14/D29*B29,0)</f>
        <v>108505</v>
      </c>
      <c r="D29" s="11">
        <f>D20</f>
        <v>12350</v>
      </c>
      <c r="E29" s="88">
        <f>ROUND(B29/D29,0)</f>
        <v>50</v>
      </c>
      <c r="F29" s="88">
        <f>ROUND(E29*1.15,0)</f>
        <v>58</v>
      </c>
    </row>
    <row r="30" spans="1:6">
      <c r="A30" s="9"/>
      <c r="B30" s="11"/>
      <c r="C30" s="10"/>
      <c r="D30" s="11"/>
      <c r="E30" s="12"/>
      <c r="F30" s="12"/>
    </row>
    <row r="31" spans="1:6">
      <c r="A31" s="9"/>
      <c r="B31" s="11"/>
      <c r="C31" s="9"/>
      <c r="D31" s="9"/>
      <c r="E31" s="9"/>
      <c r="F31" s="9"/>
    </row>
    <row r="32" spans="1:6">
      <c r="A32" s="14" t="s">
        <v>184</v>
      </c>
      <c r="B32" s="11"/>
      <c r="C32" s="9"/>
      <c r="D32" s="9"/>
      <c r="E32" s="12">
        <f>SUM(E9:E31)</f>
        <v>1632</v>
      </c>
      <c r="F32" s="12">
        <f>SUM(F9:F31)</f>
        <v>1877.5</v>
      </c>
    </row>
  </sheetData>
  <customSheetViews>
    <customSheetView guid="{E62C39C8-EAA6-407C-933E-B5BB52ED1B14}" fitToPage="1">
      <selection activeCell="D1" sqref="D1:D1048576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honeticPr fontId="100" type="noConversion"/>
  <pageMargins left="0.51181102362204722" right="0.51181102362204722" top="0.74803149606299213" bottom="0.74803149606299213" header="0.31496062992125984" footer="0.31496062992125984"/>
  <pageSetup paperSize="9" scale="48" fitToHeight="0" orientation="portrait" r:id="rId2"/>
  <headerFooter>
    <oddFooter>&amp;L&amp;"-,Bold"Waimakariri District Council&amp;C&amp;D&amp;RPage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2" tint="-0.249977111117893"/>
    <pageSetUpPr fitToPage="1"/>
  </sheetPr>
  <dimension ref="A1:G27"/>
  <sheetViews>
    <sheetView workbookViewId="0">
      <selection activeCell="B13" sqref="B13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205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9"/>
      <c r="B5" s="9"/>
      <c r="C5" s="16"/>
      <c r="D5" s="16"/>
      <c r="E5" s="16"/>
      <c r="F5" s="16"/>
    </row>
    <row r="6" spans="1:7">
      <c r="A6" s="14" t="s">
        <v>4</v>
      </c>
      <c r="B6" s="9"/>
      <c r="C6" s="11"/>
      <c r="D6" s="11"/>
      <c r="E6" s="12"/>
      <c r="F6" s="12"/>
    </row>
    <row r="7" spans="1:7">
      <c r="A7" s="39" t="s">
        <v>3</v>
      </c>
      <c r="B7" s="9"/>
      <c r="C7" s="9"/>
      <c r="D7" s="9"/>
      <c r="E7" s="9"/>
      <c r="F7" s="9"/>
      <c r="G7" s="48"/>
    </row>
    <row r="8" spans="1:7">
      <c r="A8" s="9"/>
      <c r="B8" s="10"/>
      <c r="C8" s="10"/>
      <c r="D8" s="11"/>
      <c r="E8" s="12"/>
      <c r="F8" s="12"/>
    </row>
    <row r="9" spans="1:7">
      <c r="A9" s="37"/>
      <c r="B9" s="52"/>
      <c r="C9" s="52"/>
      <c r="D9" s="33"/>
      <c r="E9" s="53"/>
      <c r="F9" s="53"/>
    </row>
    <row r="10" spans="1:7">
      <c r="A10" s="39" t="s">
        <v>7</v>
      </c>
      <c r="B10" s="41"/>
      <c r="C10" s="41"/>
      <c r="D10" s="41"/>
      <c r="E10" s="41"/>
      <c r="F10" s="41"/>
    </row>
    <row r="11" spans="1:7">
      <c r="A11" s="9" t="s">
        <v>111</v>
      </c>
      <c r="B11" s="54">
        <v>1603002</v>
      </c>
      <c r="C11" s="54">
        <f>B11</f>
        <v>1603002</v>
      </c>
      <c r="D11" s="11">
        <v>683</v>
      </c>
      <c r="E11" s="88">
        <f>ROUND(B11/D11,0)</f>
        <v>2347</v>
      </c>
      <c r="F11" s="88">
        <f>ROUND(E11*1.15,0)</f>
        <v>2699</v>
      </c>
      <c r="G11" s="79"/>
    </row>
    <row r="12" spans="1:7">
      <c r="A12" s="9" t="s">
        <v>112</v>
      </c>
      <c r="B12" s="11">
        <v>2898114</v>
      </c>
      <c r="C12" s="54">
        <f>B12</f>
        <v>2898114</v>
      </c>
      <c r="D12" s="11">
        <v>441</v>
      </c>
      <c r="E12" s="88">
        <f>ROUND(B12/D12,0)</f>
        <v>6572</v>
      </c>
      <c r="F12" s="88">
        <f>ROUND(E12*1.15,0)</f>
        <v>7558</v>
      </c>
      <c r="G12" s="79"/>
    </row>
    <row r="13" spans="1:7">
      <c r="A13" s="9" t="s">
        <v>324</v>
      </c>
      <c r="B13" s="54">
        <v>118312</v>
      </c>
      <c r="C13" s="54">
        <f>B13</f>
        <v>118312</v>
      </c>
      <c r="D13" s="11">
        <v>441</v>
      </c>
      <c r="E13" s="88">
        <f>ROUND(B13/D13,0)</f>
        <v>268</v>
      </c>
      <c r="F13" s="88">
        <f>ROUND(E13*1.15,0)</f>
        <v>308</v>
      </c>
    </row>
    <row r="14" spans="1:7">
      <c r="A14" s="9"/>
      <c r="B14" s="11">
        <f>SUM(B11:B13)</f>
        <v>4619428</v>
      </c>
      <c r="C14" s="54">
        <v>4349126</v>
      </c>
      <c r="D14" s="11"/>
      <c r="E14" s="88"/>
      <c r="F14" s="88"/>
    </row>
    <row r="15" spans="1:7">
      <c r="A15" s="9"/>
      <c r="B15" s="41"/>
      <c r="C15" s="41"/>
      <c r="D15" s="41"/>
      <c r="E15" s="41"/>
      <c r="F15" s="41"/>
    </row>
    <row r="16" spans="1:7">
      <c r="A16" s="14" t="s">
        <v>184</v>
      </c>
      <c r="B16" s="11"/>
      <c r="C16" s="41"/>
      <c r="D16" s="41"/>
      <c r="E16" s="88">
        <f>SUM(E8:E15)</f>
        <v>9187</v>
      </c>
      <c r="F16" s="88">
        <f>SUM(F8:F15)</f>
        <v>10565</v>
      </c>
    </row>
    <row r="17" spans="1:7">
      <c r="A17" s="14"/>
      <c r="B17" s="88"/>
      <c r="C17" s="41"/>
      <c r="D17" s="41"/>
      <c r="E17" s="41"/>
      <c r="F17" s="41"/>
    </row>
    <row r="18" spans="1:7">
      <c r="A18" s="9"/>
      <c r="B18" s="41"/>
      <c r="C18" s="41"/>
      <c r="D18" s="41"/>
      <c r="E18" s="41"/>
      <c r="F18" s="41"/>
    </row>
    <row r="19" spans="1:7">
      <c r="A19" s="14" t="s">
        <v>113</v>
      </c>
      <c r="B19" s="41"/>
      <c r="C19" s="41"/>
      <c r="D19" s="41"/>
      <c r="E19" s="41"/>
      <c r="F19" s="41"/>
      <c r="G19" s="31"/>
    </row>
    <row r="20" spans="1:7">
      <c r="A20" s="14" t="s">
        <v>4</v>
      </c>
      <c r="B20" s="41"/>
      <c r="C20" s="11"/>
      <c r="D20" s="11"/>
      <c r="E20" s="88"/>
      <c r="F20" s="88"/>
    </row>
    <row r="21" spans="1:7">
      <c r="A21" s="39" t="s">
        <v>7</v>
      </c>
      <c r="B21" s="41"/>
      <c r="C21" s="41"/>
      <c r="D21" s="41"/>
      <c r="E21" s="41"/>
      <c r="F21" s="41"/>
    </row>
    <row r="22" spans="1:7">
      <c r="A22" s="15"/>
      <c r="B22" s="41"/>
      <c r="C22" s="41"/>
      <c r="D22" s="41"/>
      <c r="E22" s="41"/>
      <c r="F22" s="41"/>
    </row>
    <row r="23" spans="1:7">
      <c r="A23" s="9" t="s">
        <v>111</v>
      </c>
      <c r="B23" s="54">
        <f>B11</f>
        <v>1603002</v>
      </c>
      <c r="C23" s="54">
        <f>B23</f>
        <v>1603002</v>
      </c>
      <c r="D23" s="11">
        <v>683</v>
      </c>
      <c r="E23" s="88">
        <f>ROUND(B23/D23,0)</f>
        <v>2347</v>
      </c>
      <c r="F23" s="88">
        <f>ROUND(E23*1.15,0)</f>
        <v>2699</v>
      </c>
      <c r="G23" s="79"/>
    </row>
    <row r="24" spans="1:7">
      <c r="A24" s="9"/>
      <c r="B24" s="10"/>
      <c r="C24" s="9"/>
      <c r="D24" s="9"/>
      <c r="E24" s="9"/>
      <c r="F24" s="9"/>
    </row>
    <row r="25" spans="1:7">
      <c r="A25" s="9"/>
      <c r="B25" s="9"/>
      <c r="C25" s="9"/>
      <c r="D25" s="9"/>
      <c r="E25" s="9"/>
      <c r="F25" s="9"/>
    </row>
    <row r="26" spans="1:7">
      <c r="A26" s="9"/>
      <c r="B26" s="11"/>
      <c r="C26" s="9"/>
      <c r="D26" s="9"/>
      <c r="E26" s="9"/>
      <c r="F26" s="9"/>
    </row>
    <row r="27" spans="1:7">
      <c r="A27" s="14" t="s">
        <v>184</v>
      </c>
      <c r="B27" s="11"/>
      <c r="C27" s="9"/>
      <c r="D27" s="9"/>
      <c r="E27" s="12">
        <f>SUM(E23:E26)</f>
        <v>2347</v>
      </c>
      <c r="F27" s="12">
        <f>SUM(F23:F26)</f>
        <v>2699</v>
      </c>
    </row>
  </sheetData>
  <customSheetViews>
    <customSheetView guid="{E62C39C8-EAA6-407C-933E-B5BB52ED1B14}" fitToPage="1">
      <selection activeCell="B33" sqref="B33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2" tint="-0.249977111117893"/>
    <pageSetUpPr fitToPage="1"/>
  </sheetPr>
  <dimension ref="A1:I21"/>
  <sheetViews>
    <sheetView workbookViewId="0">
      <selection activeCell="I14" sqref="I14"/>
    </sheetView>
  </sheetViews>
  <sheetFormatPr defaultColWidth="9.140625" defaultRowHeight="15"/>
  <cols>
    <col min="1" max="1" width="49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9">
      <c r="A1" s="1" t="s">
        <v>0</v>
      </c>
    </row>
    <row r="2" spans="1:9">
      <c r="A2" s="1" t="s">
        <v>411</v>
      </c>
    </row>
    <row r="3" spans="1:9">
      <c r="A3" s="1" t="str">
        <f>'Cust water'!$A$3</f>
        <v>2023-24 Budget for Annual Plan</v>
      </c>
    </row>
    <row r="4" spans="1:9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9">
      <c r="A5" s="9"/>
      <c r="B5" s="9"/>
      <c r="C5" s="16"/>
      <c r="D5" s="16"/>
      <c r="E5" s="16"/>
      <c r="F5" s="16"/>
    </row>
    <row r="6" spans="1:9">
      <c r="A6" s="14" t="s">
        <v>4</v>
      </c>
      <c r="B6" s="9"/>
      <c r="C6" s="11"/>
      <c r="D6" s="11"/>
      <c r="E6" s="12"/>
      <c r="F6" s="12"/>
    </row>
    <row r="7" spans="1:9">
      <c r="A7" s="39" t="s">
        <v>3</v>
      </c>
      <c r="B7" s="9"/>
      <c r="C7" s="9"/>
      <c r="D7" s="9"/>
      <c r="E7" s="9"/>
      <c r="F7" s="9"/>
      <c r="G7" s="48"/>
    </row>
    <row r="8" spans="1:9">
      <c r="A8" s="9" t="s">
        <v>520</v>
      </c>
      <c r="B8" s="10">
        <v>489522</v>
      </c>
      <c r="C8" s="9"/>
      <c r="D8" s="9"/>
      <c r="E8" s="9"/>
      <c r="F8" s="9"/>
      <c r="G8" s="48"/>
    </row>
    <row r="9" spans="1:9">
      <c r="A9" s="9" t="s">
        <v>521</v>
      </c>
      <c r="B9" s="10">
        <v>895959.23</v>
      </c>
      <c r="C9" s="10"/>
      <c r="D9" s="11"/>
      <c r="E9" s="12"/>
      <c r="F9" s="12"/>
    </row>
    <row r="10" spans="1:9">
      <c r="A10" s="9" t="s">
        <v>522</v>
      </c>
      <c r="B10" s="10">
        <v>392044.79</v>
      </c>
      <c r="C10" s="10"/>
      <c r="D10" s="11"/>
      <c r="E10" s="12"/>
      <c r="F10" s="12"/>
    </row>
    <row r="11" spans="1:9">
      <c r="A11" s="9" t="s">
        <v>523</v>
      </c>
      <c r="B11" s="10">
        <v>114710.72</v>
      </c>
      <c r="C11" s="10"/>
      <c r="D11" s="11"/>
      <c r="E11" s="12"/>
      <c r="F11" s="12"/>
    </row>
    <row r="12" spans="1:9">
      <c r="A12" s="9"/>
      <c r="B12" s="10"/>
      <c r="C12" s="10"/>
      <c r="D12" s="11"/>
      <c r="E12" s="12"/>
      <c r="F12" s="12"/>
    </row>
    <row r="13" spans="1:9">
      <c r="A13" s="9" t="s">
        <v>317</v>
      </c>
      <c r="B13" s="10">
        <v>439411</v>
      </c>
      <c r="C13" s="10"/>
      <c r="D13" s="11"/>
      <c r="E13" s="12"/>
      <c r="F13" s="12"/>
    </row>
    <row r="14" spans="1:9">
      <c r="A14" s="37"/>
      <c r="B14" s="11">
        <f>SUM(B6:B13)</f>
        <v>2331647.7400000002</v>
      </c>
      <c r="C14" s="11">
        <f>B14</f>
        <v>2331647.7400000002</v>
      </c>
      <c r="D14" s="11">
        <v>525</v>
      </c>
      <c r="E14" s="11">
        <f>B14/D14</f>
        <v>4441.2337904761907</v>
      </c>
      <c r="F14" s="11">
        <f>E14*1.15</f>
        <v>5107.4188590476188</v>
      </c>
      <c r="I14" t="s">
        <v>524</v>
      </c>
    </row>
    <row r="15" spans="1:9">
      <c r="A15" s="39" t="s">
        <v>7</v>
      </c>
      <c r="B15" s="9"/>
      <c r="C15" s="11"/>
      <c r="D15" s="11"/>
      <c r="E15" s="11"/>
      <c r="F15" s="11"/>
    </row>
    <row r="16" spans="1:9">
      <c r="A16" s="9"/>
      <c r="B16" s="32"/>
      <c r="C16" s="11"/>
      <c r="D16" s="11"/>
      <c r="E16" s="11"/>
      <c r="F16" s="11"/>
      <c r="G16" s="79"/>
    </row>
    <row r="17" spans="1:6">
      <c r="A17" s="9"/>
      <c r="B17" s="77"/>
      <c r="C17" s="11"/>
      <c r="D17" s="11"/>
      <c r="E17" s="11"/>
      <c r="F17" s="11"/>
    </row>
    <row r="18" spans="1:6">
      <c r="A18" s="9"/>
      <c r="B18" s="11">
        <f>SUM(B16:B17)</f>
        <v>0</v>
      </c>
      <c r="C18" s="11"/>
      <c r="D18" s="11"/>
      <c r="E18" s="11"/>
      <c r="F18" s="11"/>
    </row>
    <row r="19" spans="1:6">
      <c r="A19" s="9"/>
      <c r="B19" s="9"/>
      <c r="C19" s="9"/>
      <c r="D19" s="9"/>
      <c r="E19" s="9"/>
      <c r="F19" s="9"/>
    </row>
    <row r="20" spans="1:6">
      <c r="A20" s="14" t="s">
        <v>184</v>
      </c>
      <c r="B20" s="11"/>
      <c r="C20" s="9"/>
      <c r="D20" s="9"/>
      <c r="E20" s="12">
        <f>ROUND(SUM(E9:E19),0)</f>
        <v>4441</v>
      </c>
      <c r="F20" s="12">
        <f>ROUND(SUM(F9:F19),0)</f>
        <v>5107</v>
      </c>
    </row>
    <row r="21" spans="1:6">
      <c r="A21" s="14"/>
      <c r="B21" s="12"/>
      <c r="C21" s="9"/>
      <c r="D21" s="9"/>
      <c r="E21" s="9"/>
      <c r="F21" s="9"/>
    </row>
  </sheetData>
  <pageMargins left="0.51181102362204722" right="0.51181102362204722" top="0.74803149606299213" bottom="0.74803149606299213" header="0.31496062992125984" footer="0.31496062992125984"/>
  <pageSetup paperSize="9" scale="84" fitToHeight="0" orientation="portrait" r:id="rId1"/>
  <headerFooter>
    <oddFooter>&amp;L&amp;"-,Bold"Waimakariri District Council&amp;C&amp;D&amp;RPage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2" tint="-0.249977111117893"/>
    <pageSetUpPr fitToPage="1"/>
  </sheetPr>
  <dimension ref="A1:F26"/>
  <sheetViews>
    <sheetView workbookViewId="0">
      <selection activeCell="B14" sqref="B14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119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14"/>
      <c r="B5" s="9"/>
      <c r="C5" s="16"/>
      <c r="D5" s="16"/>
      <c r="E5" s="16"/>
      <c r="F5" s="16"/>
    </row>
    <row r="6" spans="1:6">
      <c r="A6" s="14" t="s">
        <v>4</v>
      </c>
      <c r="B6" s="9"/>
      <c r="C6" s="11"/>
      <c r="D6" s="11"/>
      <c r="E6" s="12"/>
      <c r="F6" s="12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/>
      <c r="B8" s="11"/>
      <c r="C8" s="54"/>
      <c r="D8" s="11">
        <v>174</v>
      </c>
      <c r="E8" s="88">
        <f>ROUND(B8/D8,0)</f>
        <v>0</v>
      </c>
      <c r="F8" s="88">
        <f>ROUNDDOWN(E8*1.15,0)</f>
        <v>0</v>
      </c>
    </row>
    <row r="9" spans="1:6">
      <c r="A9" s="9"/>
      <c r="B9" s="11"/>
      <c r="C9" s="54"/>
      <c r="D9" s="11"/>
      <c r="E9" s="88"/>
      <c r="F9" s="88"/>
    </row>
    <row r="10" spans="1:6">
      <c r="A10" s="39" t="s">
        <v>7</v>
      </c>
      <c r="B10" s="41"/>
      <c r="C10" s="41"/>
      <c r="D10" s="41"/>
      <c r="E10" s="41"/>
      <c r="F10" s="41"/>
    </row>
    <row r="11" spans="1:6">
      <c r="A11" s="9" t="s">
        <v>121</v>
      </c>
      <c r="B11" s="54">
        <v>476946</v>
      </c>
      <c r="C11" s="41"/>
      <c r="D11" s="41"/>
      <c r="E11" s="41"/>
      <c r="F11" s="41"/>
    </row>
    <row r="12" spans="1:6">
      <c r="A12" s="9" t="s">
        <v>120</v>
      </c>
      <c r="B12" s="54">
        <v>421818</v>
      </c>
      <c r="C12" s="41"/>
      <c r="D12" s="41"/>
      <c r="E12" s="41"/>
      <c r="F12" s="41"/>
    </row>
    <row r="13" spans="1:6">
      <c r="A13" s="9" t="s">
        <v>160</v>
      </c>
      <c r="B13" s="54">
        <v>248387</v>
      </c>
      <c r="C13" s="41"/>
      <c r="D13" s="41"/>
      <c r="E13" s="41"/>
      <c r="F13" s="41"/>
    </row>
    <row r="14" spans="1:6">
      <c r="A14" s="9" t="s">
        <v>470</v>
      </c>
      <c r="B14" s="54">
        <v>50000</v>
      </c>
      <c r="C14" s="41"/>
      <c r="D14" s="41"/>
      <c r="E14" s="41"/>
      <c r="F14" s="41"/>
    </row>
    <row r="15" spans="1:6">
      <c r="A15" s="15"/>
      <c r="B15" s="11">
        <f>SUM(B11:B14)</f>
        <v>1197151</v>
      </c>
      <c r="C15" s="54">
        <f>B15</f>
        <v>1197151</v>
      </c>
      <c r="D15" s="11">
        <f>D8</f>
        <v>174</v>
      </c>
      <c r="E15" s="88">
        <f>ROUND(B15/D15,0)</f>
        <v>6880</v>
      </c>
      <c r="F15" s="88">
        <f>ROUND(E15*1.15,0)</f>
        <v>7912</v>
      </c>
    </row>
    <row r="16" spans="1:6">
      <c r="A16" s="15"/>
      <c r="B16" s="9"/>
      <c r="C16" s="9"/>
      <c r="D16" s="9"/>
      <c r="E16" s="9"/>
      <c r="F16" s="9"/>
    </row>
    <row r="17" spans="1:6">
      <c r="A17" s="15"/>
      <c r="B17" s="9"/>
      <c r="C17" s="9"/>
      <c r="D17" s="9"/>
      <c r="E17" s="9"/>
      <c r="F17" s="9"/>
    </row>
    <row r="18" spans="1:6">
      <c r="A18" s="9"/>
      <c r="B18" s="11"/>
      <c r="C18" s="9"/>
      <c r="D18" s="9"/>
      <c r="E18" s="9"/>
      <c r="F18" s="9"/>
    </row>
    <row r="19" spans="1:6">
      <c r="A19" s="14" t="s">
        <v>184</v>
      </c>
      <c r="B19" s="11"/>
      <c r="C19" s="9"/>
      <c r="D19" s="9"/>
      <c r="E19" s="12">
        <f>SUM(E8:E18)</f>
        <v>6880</v>
      </c>
      <c r="F19" s="12">
        <f>SUM(F8:F18)</f>
        <v>7912</v>
      </c>
    </row>
    <row r="20" spans="1:6">
      <c r="B20" s="4"/>
    </row>
    <row r="22" spans="1:6">
      <c r="A22" s="1"/>
    </row>
    <row r="23" spans="1:6">
      <c r="B23" s="4"/>
    </row>
    <row r="24" spans="1:6">
      <c r="B24" s="4"/>
    </row>
    <row r="25" spans="1:6">
      <c r="B25" s="4"/>
    </row>
    <row r="26" spans="1:6">
      <c r="B26" s="4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2" tint="-0.249977111117893"/>
    <pageSetUpPr fitToPage="1"/>
  </sheetPr>
  <dimension ref="A1:G29"/>
  <sheetViews>
    <sheetView workbookViewId="0">
      <selection activeCell="Q21" sqref="Q21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114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/>
      <c r="B5" s="9"/>
      <c r="C5" s="16"/>
      <c r="D5" s="16"/>
      <c r="E5" s="16"/>
      <c r="F5" s="16"/>
    </row>
    <row r="6" spans="1:7">
      <c r="A6" s="14" t="s">
        <v>4</v>
      </c>
      <c r="B6" s="9"/>
      <c r="C6" s="11"/>
      <c r="D6" s="11"/>
      <c r="E6" s="12"/>
      <c r="F6" s="12"/>
    </row>
    <row r="7" spans="1:7">
      <c r="A7" s="39" t="s">
        <v>3</v>
      </c>
      <c r="B7" s="9"/>
      <c r="C7" s="9"/>
      <c r="D7" s="9"/>
      <c r="E7" s="9"/>
      <c r="F7" s="9"/>
    </row>
    <row r="8" spans="1:7">
      <c r="A8" s="9"/>
      <c r="B8" s="10"/>
      <c r="C8" s="9"/>
      <c r="D8" s="9"/>
      <c r="E8" s="9"/>
      <c r="F8" s="9"/>
    </row>
    <row r="9" spans="1:7">
      <c r="A9" s="9"/>
      <c r="B9" s="10"/>
      <c r="C9" s="9"/>
      <c r="D9" s="9"/>
      <c r="E9" s="9"/>
      <c r="F9" s="9"/>
    </row>
    <row r="10" spans="1:7">
      <c r="A10" s="9"/>
      <c r="B10" s="11">
        <f>SUM(B8:B9)</f>
        <v>0</v>
      </c>
      <c r="C10" s="54">
        <f>B10</f>
        <v>0</v>
      </c>
      <c r="D10" s="11">
        <v>675</v>
      </c>
      <c r="E10" s="88">
        <f>ROUND(B10/D10,0)</f>
        <v>0</v>
      </c>
      <c r="F10" s="88">
        <f>ROUNDDOWN(E10*1.15,0)</f>
        <v>0</v>
      </c>
    </row>
    <row r="11" spans="1:7">
      <c r="A11" s="9"/>
      <c r="B11" s="11"/>
      <c r="C11" s="54"/>
      <c r="D11" s="11"/>
      <c r="E11" s="88"/>
      <c r="F11" s="88"/>
    </row>
    <row r="12" spans="1:7">
      <c r="A12" s="39" t="s">
        <v>7</v>
      </c>
      <c r="B12" s="41"/>
      <c r="C12" s="41"/>
      <c r="D12" s="41"/>
      <c r="E12" s="41"/>
      <c r="F12" s="41"/>
    </row>
    <row r="13" spans="1:7">
      <c r="A13" s="9" t="s">
        <v>115</v>
      </c>
      <c r="B13" s="54">
        <v>618628</v>
      </c>
      <c r="C13" s="41"/>
      <c r="D13" s="41"/>
      <c r="E13" s="41"/>
      <c r="F13" s="41"/>
    </row>
    <row r="14" spans="1:7">
      <c r="A14" s="9" t="s">
        <v>118</v>
      </c>
      <c r="B14" s="54">
        <v>185110</v>
      </c>
      <c r="C14" s="41"/>
      <c r="D14" s="41"/>
      <c r="E14" s="41"/>
      <c r="F14" s="41"/>
      <c r="G14" s="79"/>
    </row>
    <row r="15" spans="1:7">
      <c r="A15" s="9" t="s">
        <v>116</v>
      </c>
      <c r="B15" s="54">
        <v>138495</v>
      </c>
      <c r="C15" s="41"/>
      <c r="D15" s="41"/>
      <c r="E15" s="41"/>
      <c r="F15" s="41"/>
      <c r="G15" s="79"/>
    </row>
    <row r="16" spans="1:7">
      <c r="A16" s="9" t="s">
        <v>117</v>
      </c>
      <c r="B16" s="54">
        <v>321149</v>
      </c>
      <c r="C16" s="41"/>
      <c r="D16" s="41"/>
      <c r="E16" s="41"/>
      <c r="F16" s="41"/>
      <c r="G16" s="79"/>
    </row>
    <row r="17" spans="1:6">
      <c r="A17" s="9"/>
      <c r="B17" s="54"/>
      <c r="C17" s="41"/>
      <c r="D17" s="41"/>
      <c r="E17" s="41"/>
      <c r="F17" s="41"/>
    </row>
    <row r="18" spans="1:6">
      <c r="A18" s="15"/>
      <c r="B18" s="11">
        <f>SUM(B13:B17)</f>
        <v>1263382</v>
      </c>
      <c r="C18" s="54">
        <f>B18</f>
        <v>1263382</v>
      </c>
      <c r="D18" s="11">
        <v>675</v>
      </c>
      <c r="E18" s="88">
        <f>ROUND(B18/D18,0)</f>
        <v>1872</v>
      </c>
      <c r="F18" s="88">
        <f>ROUND(E18*1.15,0)</f>
        <v>2153</v>
      </c>
    </row>
    <row r="19" spans="1:6">
      <c r="A19" s="15"/>
      <c r="B19" s="9"/>
      <c r="C19" s="9"/>
      <c r="D19" s="9"/>
      <c r="E19" s="9"/>
      <c r="F19" s="9"/>
    </row>
    <row r="20" spans="1:6">
      <c r="A20" s="15"/>
      <c r="B20" s="9"/>
      <c r="C20" s="9"/>
      <c r="D20" s="9"/>
      <c r="E20" s="9"/>
      <c r="F20" s="9"/>
    </row>
    <row r="21" spans="1:6">
      <c r="A21" s="9"/>
      <c r="B21" s="11"/>
      <c r="C21" s="9"/>
      <c r="D21" s="9"/>
      <c r="E21" s="9"/>
      <c r="F21" s="9"/>
    </row>
    <row r="22" spans="1:6">
      <c r="A22" s="14" t="s">
        <v>184</v>
      </c>
      <c r="B22" s="11"/>
      <c r="C22" s="9"/>
      <c r="D22" s="9"/>
      <c r="E22" s="12">
        <f>SUM(E9:E21)</f>
        <v>1872</v>
      </c>
      <c r="F22" s="12">
        <f>SUM(F9:F21)</f>
        <v>2153</v>
      </c>
    </row>
    <row r="23" spans="1:6">
      <c r="B23" s="4"/>
    </row>
    <row r="25" spans="1:6">
      <c r="A25" s="1"/>
    </row>
    <row r="26" spans="1:6">
      <c r="B26" s="4"/>
    </row>
    <row r="27" spans="1:6">
      <c r="B27" s="4"/>
    </row>
    <row r="28" spans="1:6">
      <c r="B28" s="4"/>
    </row>
    <row r="29" spans="1:6">
      <c r="B29" s="4"/>
    </row>
  </sheetData>
  <customSheetViews>
    <customSheetView guid="{E62C39C8-EAA6-407C-933E-B5BB52ED1B14}" fitToPage="1">
      <selection activeCell="B13" sqref="B13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2" tint="-0.249977111117893"/>
    <pageSetUpPr fitToPage="1"/>
  </sheetPr>
  <dimension ref="A1:G27"/>
  <sheetViews>
    <sheetView workbookViewId="0">
      <selection activeCell="B18" sqref="B18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206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14"/>
      <c r="B5" s="9"/>
      <c r="C5" s="16"/>
      <c r="D5" s="16"/>
      <c r="E5" s="16"/>
      <c r="F5" s="16"/>
    </row>
    <row r="6" spans="1:7">
      <c r="A6" s="14" t="s">
        <v>4</v>
      </c>
      <c r="B6" s="9"/>
      <c r="C6" s="11"/>
      <c r="D6" s="11"/>
      <c r="E6" s="12"/>
      <c r="F6" s="12"/>
    </row>
    <row r="7" spans="1:7">
      <c r="A7" s="39" t="s">
        <v>3</v>
      </c>
      <c r="B7" s="9"/>
      <c r="C7" s="9"/>
      <c r="D7" s="9"/>
      <c r="E7" s="9"/>
      <c r="F7" s="9"/>
    </row>
    <row r="8" spans="1:7">
      <c r="A8" s="9" t="s">
        <v>466</v>
      </c>
      <c r="B8" s="54">
        <v>42000</v>
      </c>
      <c r="C8" s="54">
        <f>B8</f>
        <v>42000</v>
      </c>
      <c r="D8" s="41"/>
      <c r="E8" s="41"/>
      <c r="F8" s="41"/>
      <c r="G8" s="79"/>
    </row>
    <row r="9" spans="1:7">
      <c r="A9" s="9" t="s">
        <v>467</v>
      </c>
      <c r="B9" s="54">
        <v>45000</v>
      </c>
      <c r="C9" s="54">
        <f>B9</f>
        <v>45000</v>
      </c>
      <c r="D9" s="41"/>
      <c r="E9" s="41"/>
      <c r="F9" s="41"/>
      <c r="G9" s="79"/>
    </row>
    <row r="10" spans="1:7">
      <c r="A10" s="9" t="s">
        <v>468</v>
      </c>
      <c r="B10" s="54">
        <v>105750</v>
      </c>
      <c r="C10" s="54">
        <f t="shared" ref="C10:C11" si="0">B10</f>
        <v>105750</v>
      </c>
      <c r="D10" s="41"/>
      <c r="E10" s="41"/>
      <c r="F10" s="41"/>
      <c r="G10" s="48"/>
    </row>
    <row r="11" spans="1:7">
      <c r="A11" s="9" t="s">
        <v>469</v>
      </c>
      <c r="B11" s="54">
        <v>106050</v>
      </c>
      <c r="C11" s="54">
        <f t="shared" si="0"/>
        <v>106050</v>
      </c>
      <c r="D11" s="41"/>
      <c r="E11" s="41"/>
      <c r="F11" s="41"/>
      <c r="G11" s="48"/>
    </row>
    <row r="12" spans="1:7">
      <c r="A12" s="9"/>
      <c r="B12" s="11">
        <f>SUM(B8:B11)</f>
        <v>298800</v>
      </c>
      <c r="C12" s="54">
        <f>B12</f>
        <v>298800</v>
      </c>
      <c r="D12" s="11">
        <v>1800</v>
      </c>
      <c r="E12" s="88">
        <f>ROUND(C12/D12,0)</f>
        <v>166</v>
      </c>
      <c r="F12" s="88">
        <f>ROUNDDOWN(E12*1.15,0)</f>
        <v>190</v>
      </c>
    </row>
    <row r="13" spans="1:7">
      <c r="A13" s="41"/>
      <c r="B13" s="54"/>
      <c r="C13" s="45"/>
      <c r="D13" s="41"/>
      <c r="E13" s="41"/>
      <c r="F13" s="41"/>
    </row>
    <row r="14" spans="1:7">
      <c r="A14" s="39" t="s">
        <v>2</v>
      </c>
      <c r="B14" s="41"/>
      <c r="C14" s="41"/>
      <c r="D14" s="41"/>
      <c r="E14" s="41"/>
      <c r="F14" s="41"/>
    </row>
    <row r="15" spans="1:7">
      <c r="A15" s="9" t="s">
        <v>243</v>
      </c>
      <c r="B15" s="54">
        <v>953040</v>
      </c>
      <c r="C15" s="45">
        <f>B15</f>
        <v>953040</v>
      </c>
      <c r="D15" s="41"/>
      <c r="E15" s="41"/>
      <c r="F15" s="41"/>
      <c r="G15" s="79"/>
    </row>
    <row r="16" spans="1:7">
      <c r="A16" s="73" t="s">
        <v>325</v>
      </c>
      <c r="B16" s="54">
        <v>3251295</v>
      </c>
      <c r="C16" s="54">
        <f>B16</f>
        <v>3251295</v>
      </c>
      <c r="D16" s="41"/>
      <c r="E16" s="41"/>
      <c r="F16" s="41"/>
      <c r="G16" s="80"/>
    </row>
    <row r="17" spans="1:6">
      <c r="A17" s="9" t="s">
        <v>363</v>
      </c>
      <c r="B17" s="54">
        <v>232386</v>
      </c>
      <c r="C17" s="54">
        <f>B17</f>
        <v>232386</v>
      </c>
      <c r="D17" s="41"/>
      <c r="E17" s="41"/>
      <c r="F17" s="41"/>
    </row>
    <row r="18" spans="1:6">
      <c r="A18" s="9"/>
      <c r="B18" s="11">
        <f>SUM(B15:B17)</f>
        <v>4436721</v>
      </c>
      <c r="C18" s="54">
        <f>B18</f>
        <v>4436721</v>
      </c>
      <c r="D18" s="11">
        <v>1800</v>
      </c>
      <c r="E18" s="88">
        <f>ROUND(C18/D18,0)</f>
        <v>2465</v>
      </c>
      <c r="F18" s="88">
        <f>ROUNDDOWN(E18*1.15,0)</f>
        <v>2834</v>
      </c>
    </row>
    <row r="19" spans="1:6">
      <c r="A19" s="9"/>
      <c r="B19" s="9"/>
      <c r="C19" s="9"/>
      <c r="D19" s="9"/>
      <c r="E19" s="9"/>
      <c r="F19" s="9"/>
    </row>
    <row r="20" spans="1:6">
      <c r="A20" s="9"/>
      <c r="B20" s="11"/>
      <c r="C20" s="9"/>
      <c r="D20" s="9"/>
      <c r="E20" s="9"/>
      <c r="F20" s="9"/>
    </row>
    <row r="21" spans="1:6">
      <c r="A21" s="14" t="s">
        <v>184</v>
      </c>
      <c r="B21" s="11"/>
      <c r="C21" s="9"/>
      <c r="D21" s="9"/>
      <c r="E21" s="12">
        <f>SUM(E10:E20)</f>
        <v>2631</v>
      </c>
      <c r="F21" s="12">
        <f>SUM(F5:F20)</f>
        <v>3024</v>
      </c>
    </row>
    <row r="23" spans="1:6">
      <c r="A23" s="1"/>
    </row>
    <row r="24" spans="1:6">
      <c r="B24" s="4"/>
    </row>
    <row r="25" spans="1:6">
      <c r="B25" s="4"/>
    </row>
    <row r="26" spans="1:6">
      <c r="B26" s="4"/>
    </row>
    <row r="27" spans="1:6">
      <c r="B27" s="4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F20"/>
  <sheetViews>
    <sheetView workbookViewId="0">
      <selection activeCell="F10" sqref="F10"/>
    </sheetView>
  </sheetViews>
  <sheetFormatPr defaultRowHeight="15"/>
  <cols>
    <col min="1" max="1" width="40.28515625" bestFit="1" customWidth="1"/>
    <col min="2" max="2" width="11.5703125" bestFit="1" customWidth="1"/>
    <col min="3" max="3" width="13.28515625" customWidth="1"/>
    <col min="4" max="4" width="12" customWidth="1"/>
    <col min="5" max="5" width="13.42578125" customWidth="1"/>
    <col min="6" max="6" width="15.5703125" customWidth="1"/>
  </cols>
  <sheetData>
    <row r="1" spans="1:6">
      <c r="A1" s="1" t="s">
        <v>0</v>
      </c>
    </row>
    <row r="2" spans="1:6">
      <c r="A2" s="1" t="s">
        <v>37</v>
      </c>
    </row>
    <row r="3" spans="1:6">
      <c r="A3" s="1" t="str">
        <f>'Cust water'!A3</f>
        <v>2023-24 Budget for Annual Plan</v>
      </c>
    </row>
    <row r="5" spans="1:6" ht="90">
      <c r="A5" s="9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110</v>
      </c>
      <c r="B6" s="8"/>
      <c r="C6" s="8"/>
      <c r="D6" s="8"/>
      <c r="E6" s="8"/>
      <c r="F6" s="8"/>
    </row>
    <row r="7" spans="1:6">
      <c r="A7" s="39" t="s">
        <v>3</v>
      </c>
      <c r="B7" s="51"/>
      <c r="C7" s="51"/>
      <c r="D7" s="51"/>
      <c r="E7" s="51"/>
      <c r="F7" s="51"/>
    </row>
    <row r="8" spans="1:6">
      <c r="A8" s="9" t="s">
        <v>380</v>
      </c>
      <c r="B8" s="54">
        <v>120000</v>
      </c>
      <c r="C8" s="51"/>
      <c r="D8" s="51"/>
      <c r="E8" s="51"/>
      <c r="F8" s="51"/>
    </row>
    <row r="9" spans="1:6">
      <c r="A9" s="9"/>
      <c r="B9" s="54">
        <f>SUM(B8:B8)</f>
        <v>120000</v>
      </c>
      <c r="C9" s="94">
        <v>100000</v>
      </c>
      <c r="D9" s="41">
        <v>16</v>
      </c>
      <c r="E9" s="88">
        <f>ROUND(B9/D9,0)</f>
        <v>7500</v>
      </c>
      <c r="F9" s="88">
        <f>ROUND(E9*1.15,0)</f>
        <v>8625</v>
      </c>
    </row>
    <row r="10" spans="1:6">
      <c r="A10" s="9"/>
      <c r="B10" s="51"/>
      <c r="C10" s="51"/>
      <c r="D10" s="51"/>
      <c r="E10" s="51"/>
      <c r="F10" s="51"/>
    </row>
    <row r="11" spans="1:6">
      <c r="A11" s="14" t="s">
        <v>6</v>
      </c>
      <c r="B11" s="41"/>
      <c r="C11" s="41"/>
      <c r="D11" s="41"/>
      <c r="E11" s="41"/>
      <c r="F11" s="41"/>
    </row>
    <row r="12" spans="1:6">
      <c r="A12" s="39" t="s">
        <v>3</v>
      </c>
      <c r="B12" s="41"/>
      <c r="C12" s="41"/>
      <c r="D12" s="41"/>
      <c r="E12" s="41"/>
      <c r="F12" s="41"/>
    </row>
    <row r="13" spans="1:6">
      <c r="A13" s="9" t="s">
        <v>379</v>
      </c>
      <c r="B13" s="54">
        <v>90000</v>
      </c>
      <c r="C13" s="41"/>
      <c r="D13" s="41"/>
      <c r="E13" s="41"/>
      <c r="F13" s="41"/>
    </row>
    <row r="14" spans="1:6">
      <c r="A14" s="9"/>
      <c r="B14" s="54">
        <f>SUM(B13:B13)</f>
        <v>90000</v>
      </c>
      <c r="C14" s="94">
        <f>ROUND(D9/D14*B14,0)</f>
        <v>2628</v>
      </c>
      <c r="D14" s="41">
        <v>548</v>
      </c>
      <c r="E14" s="88">
        <f>ROUND(B14/D14,0)</f>
        <v>164</v>
      </c>
      <c r="F14" s="88">
        <f>ROUND(E14*1.15,0)</f>
        <v>189</v>
      </c>
    </row>
    <row r="15" spans="1:6">
      <c r="A15" s="9"/>
      <c r="B15" s="10"/>
      <c r="C15" s="13"/>
      <c r="D15" s="9"/>
      <c r="E15" s="12"/>
      <c r="F15" s="12"/>
    </row>
    <row r="16" spans="1:6">
      <c r="A16" s="39" t="s">
        <v>261</v>
      </c>
      <c r="B16" s="11"/>
      <c r="C16" s="9"/>
      <c r="D16" s="9"/>
      <c r="E16" s="9"/>
      <c r="F16" s="9"/>
    </row>
    <row r="17" spans="1:6">
      <c r="A17" s="14" t="s">
        <v>188</v>
      </c>
      <c r="B17" s="9"/>
      <c r="C17" s="9"/>
      <c r="D17" s="9"/>
      <c r="E17" s="12">
        <f>SUM(E9,E14)</f>
        <v>7664</v>
      </c>
      <c r="F17" s="12">
        <f>SUM(F9,F14)</f>
        <v>8814</v>
      </c>
    </row>
    <row r="18" spans="1:6">
      <c r="B18" s="3"/>
    </row>
    <row r="19" spans="1:6">
      <c r="B19" s="4"/>
    </row>
    <row r="20" spans="1:6">
      <c r="B20" s="4"/>
    </row>
  </sheetData>
  <customSheetViews>
    <customSheetView guid="{E62C39C8-EAA6-407C-933E-B5BB52ED1B14}" fitToPage="1">
      <selection activeCell="A7" sqref="A7:XFD7"/>
      <pageMargins left="0.51181102362204722" right="0.51181102362204722" top="0.74803149606299213" bottom="0.74803149606299213" header="0.31496062992125984" footer="0.31496062992125984"/>
      <pageSetup paperSize="9" scale="86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9" fitToHeight="0" orientation="portrait" r:id="rId2"/>
  <headerFooter>
    <oddFooter>&amp;L&amp;"-,Bold"Waimakariri District Council&amp;C&amp;D&amp;RPage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2" tint="-0.249977111117893"/>
    <pageSetUpPr fitToPage="1"/>
  </sheetPr>
  <dimension ref="A1:P21"/>
  <sheetViews>
    <sheetView workbookViewId="0">
      <selection activeCell="H11" sqref="H11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16">
      <c r="A1" s="1" t="s">
        <v>0</v>
      </c>
    </row>
    <row r="2" spans="1:16">
      <c r="A2" s="1" t="s">
        <v>207</v>
      </c>
    </row>
    <row r="3" spans="1:16">
      <c r="A3" s="1" t="str">
        <f>'Cust water'!$A$3</f>
        <v>2023-24 Budget for Annual Plan</v>
      </c>
    </row>
    <row r="4" spans="1:1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16">
      <c r="A5" s="9"/>
      <c r="B5" s="9"/>
      <c r="C5" s="16"/>
      <c r="D5" s="16"/>
      <c r="E5" s="16"/>
      <c r="F5" s="16"/>
    </row>
    <row r="6" spans="1:16">
      <c r="A6" s="9"/>
      <c r="B6" s="9"/>
      <c r="C6" s="9"/>
      <c r="D6" s="9"/>
      <c r="E6" s="9"/>
      <c r="F6" s="9"/>
    </row>
    <row r="7" spans="1:16">
      <c r="A7" s="14" t="s">
        <v>110</v>
      </c>
      <c r="B7" s="9"/>
      <c r="C7" s="9"/>
      <c r="D7" s="9"/>
      <c r="E7" s="9"/>
      <c r="F7" s="9"/>
    </row>
    <row r="8" spans="1:16">
      <c r="A8" s="39" t="s">
        <v>17</v>
      </c>
      <c r="B8" s="11">
        <v>2949035</v>
      </c>
      <c r="C8" s="9"/>
      <c r="D8" s="9"/>
      <c r="E8" s="9"/>
      <c r="F8" s="9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>
      <c r="A9" s="9" t="s">
        <v>109</v>
      </c>
      <c r="B9" s="11">
        <v>-1936000</v>
      </c>
      <c r="C9" s="10"/>
      <c r="D9" s="11"/>
      <c r="E9" s="12"/>
      <c r="F9" s="12"/>
    </row>
    <row r="10" spans="1:16">
      <c r="A10" s="9"/>
      <c r="B10" s="9"/>
      <c r="C10" s="9"/>
      <c r="D10" s="9"/>
      <c r="E10" s="9"/>
      <c r="F10" s="9"/>
    </row>
    <row r="11" spans="1:16">
      <c r="A11" s="9"/>
      <c r="B11" s="10">
        <f>SUM(B8:B10)</f>
        <v>1013035</v>
      </c>
      <c r="C11" s="10">
        <f>B11</f>
        <v>1013035</v>
      </c>
      <c r="D11" s="11">
        <v>518100</v>
      </c>
      <c r="E11" s="12">
        <f>ROUND(B11/D11,2)</f>
        <v>1.96</v>
      </c>
      <c r="F11" s="12">
        <f>ROUND(E11*1.15,2)</f>
        <v>2.25</v>
      </c>
    </row>
    <row r="12" spans="1:16">
      <c r="A12" s="9"/>
      <c r="B12" s="11"/>
      <c r="C12" s="10"/>
      <c r="D12" s="11"/>
      <c r="E12" s="12"/>
      <c r="F12" s="12"/>
    </row>
    <row r="13" spans="1:16">
      <c r="A13" s="9"/>
      <c r="B13" s="11"/>
      <c r="C13" s="9"/>
      <c r="D13" s="9"/>
      <c r="E13" s="9"/>
      <c r="F13" s="9"/>
    </row>
    <row r="14" spans="1:16">
      <c r="A14" s="14" t="s">
        <v>142</v>
      </c>
      <c r="B14" s="11"/>
      <c r="C14" s="9"/>
      <c r="D14" s="9"/>
      <c r="E14" s="12">
        <f>SUM(E6:E13)</f>
        <v>1.96</v>
      </c>
      <c r="F14" s="12">
        <f>SUM(F6:F13)</f>
        <v>2.25</v>
      </c>
    </row>
    <row r="15" spans="1:16">
      <c r="B15" s="4"/>
    </row>
    <row r="17" spans="1:2">
      <c r="A17" s="1"/>
    </row>
    <row r="18" spans="1:2">
      <c r="B18" s="4"/>
    </row>
    <row r="19" spans="1:2">
      <c r="B19" s="4"/>
    </row>
    <row r="20" spans="1:2">
      <c r="B20" s="4"/>
    </row>
    <row r="21" spans="1:2">
      <c r="B21" s="4"/>
    </row>
  </sheetData>
  <customSheetViews>
    <customSheetView guid="{E62C39C8-EAA6-407C-933E-B5BB52ED1B14}" fitToPage="1" topLeftCell="A4">
      <selection activeCell="A10" sqref="A10:XFD10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9" fitToHeight="0" orientation="portrait" r:id="rId2"/>
  <headerFooter>
    <oddFooter>&amp;L&amp;"-,Bold"Waimakariri District Council&amp;C&amp;D&amp;RPage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2" tint="-0.249977111117893"/>
    <pageSetUpPr fitToPage="1"/>
  </sheetPr>
  <dimension ref="A1:F21"/>
  <sheetViews>
    <sheetView workbookViewId="0">
      <selection activeCell="F30" sqref="F30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239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6"/>
      <c r="D5" s="16"/>
      <c r="E5" s="16"/>
      <c r="F5" s="16"/>
    </row>
    <row r="6" spans="1:6">
      <c r="A6" s="9"/>
      <c r="B6" s="9"/>
      <c r="C6" s="9"/>
      <c r="D6" s="9"/>
      <c r="E6" s="9"/>
      <c r="F6" s="9"/>
    </row>
    <row r="7" spans="1:6">
      <c r="A7" s="14" t="s">
        <v>110</v>
      </c>
      <c r="B7" s="9"/>
      <c r="C7" s="9"/>
      <c r="D7" s="9"/>
      <c r="E7" s="9"/>
      <c r="F7" s="9"/>
    </row>
    <row r="8" spans="1:6">
      <c r="A8" s="39" t="s">
        <v>294</v>
      </c>
      <c r="B8" s="11"/>
      <c r="C8" s="9"/>
      <c r="D8" s="9"/>
      <c r="E8" s="9"/>
      <c r="F8" s="9"/>
    </row>
    <row r="9" spans="1:6">
      <c r="A9" s="9" t="s">
        <v>234</v>
      </c>
      <c r="B9" s="11">
        <v>2700844</v>
      </c>
      <c r="C9" s="10"/>
      <c r="D9" s="11"/>
      <c r="E9" s="12"/>
      <c r="F9" s="12"/>
    </row>
    <row r="10" spans="1:6">
      <c r="A10" s="9"/>
      <c r="B10" s="9"/>
      <c r="C10" s="9"/>
      <c r="D10" s="9"/>
      <c r="E10" s="9"/>
      <c r="F10" s="9"/>
    </row>
    <row r="11" spans="1:6">
      <c r="A11" s="9"/>
      <c r="B11" s="10">
        <f>SUM(B8:B10)</f>
        <v>2700844</v>
      </c>
      <c r="C11" s="10">
        <f>B11</f>
        <v>2700844</v>
      </c>
      <c r="D11" s="115">
        <v>18.7</v>
      </c>
      <c r="E11" s="12">
        <f>ROUND(B11/D11,0)</f>
        <v>144430</v>
      </c>
      <c r="F11" s="12">
        <f>ROUND(E11*1.15,0)</f>
        <v>166095</v>
      </c>
    </row>
    <row r="12" spans="1:6">
      <c r="A12" s="9"/>
      <c r="B12" s="11"/>
      <c r="C12" s="10"/>
      <c r="D12" s="11"/>
      <c r="E12" s="12"/>
      <c r="F12" s="12"/>
    </row>
    <row r="13" spans="1:6">
      <c r="A13" s="9"/>
      <c r="B13" s="11"/>
      <c r="C13" s="9"/>
      <c r="D13" s="9"/>
      <c r="E13" s="12"/>
      <c r="F13" s="12"/>
    </row>
    <row r="14" spans="1:6">
      <c r="A14" s="14" t="s">
        <v>236</v>
      </c>
      <c r="B14" s="11"/>
      <c r="C14" s="9"/>
      <c r="D14" s="9"/>
      <c r="E14" s="12">
        <f>SUM(E6:E13)</f>
        <v>144430</v>
      </c>
      <c r="F14" s="12">
        <f>SUM(F6:F13)</f>
        <v>166095</v>
      </c>
    </row>
    <row r="15" spans="1:6">
      <c r="B15" s="4"/>
    </row>
    <row r="17" spans="1:2">
      <c r="A17" s="1"/>
    </row>
    <row r="18" spans="1:2">
      <c r="B18" s="4"/>
    </row>
    <row r="19" spans="1:2">
      <c r="B19" s="4"/>
    </row>
    <row r="20" spans="1:2">
      <c r="B20" s="4"/>
    </row>
    <row r="21" spans="1:2">
      <c r="B21" s="4"/>
    </row>
  </sheetData>
  <customSheetViews>
    <customSheetView guid="{E62C39C8-EAA6-407C-933E-B5BB52ED1B14}" fitToPage="1">
      <selection activeCell="C28" sqref="C28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2" tint="-0.249977111117893"/>
    <pageSetUpPr fitToPage="1"/>
  </sheetPr>
  <dimension ref="A1:G17"/>
  <sheetViews>
    <sheetView workbookViewId="0">
      <selection activeCell="H19" sqref="H19"/>
    </sheetView>
  </sheetViews>
  <sheetFormatPr defaultColWidth="9.140625" defaultRowHeight="15"/>
  <cols>
    <col min="1" max="1" width="47.5703125" customWidth="1"/>
    <col min="2" max="2" width="11.5703125" bestFit="1" customWidth="1"/>
    <col min="3" max="6" width="14.7109375" customWidth="1"/>
  </cols>
  <sheetData>
    <row r="1" spans="1:7">
      <c r="A1" s="1" t="s">
        <v>0</v>
      </c>
    </row>
    <row r="2" spans="1:7">
      <c r="A2" s="1" t="s">
        <v>314</v>
      </c>
    </row>
    <row r="3" spans="1:7">
      <c r="A3" s="1" t="str">
        <f>'Cust water'!$A$3</f>
        <v>2023-24 Budget for Annual Plan</v>
      </c>
    </row>
    <row r="5" spans="1:7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7">
      <c r="A6" s="14" t="s">
        <v>110</v>
      </c>
      <c r="B6" s="9"/>
      <c r="C6" s="9"/>
      <c r="D6" s="9"/>
      <c r="E6" s="9"/>
      <c r="F6" s="9"/>
    </row>
    <row r="7" spans="1:7">
      <c r="A7" s="39" t="s">
        <v>3</v>
      </c>
      <c r="B7" s="9"/>
      <c r="C7" s="9"/>
      <c r="D7" s="9"/>
      <c r="E7" s="9"/>
      <c r="F7" s="9"/>
    </row>
    <row r="8" spans="1:7">
      <c r="A8" s="14"/>
      <c r="B8" s="54">
        <f>SUM(B14:B14)</f>
        <v>0</v>
      </c>
      <c r="C8" s="54">
        <f>B8</f>
        <v>0</v>
      </c>
      <c r="D8" s="21">
        <f>D11</f>
        <v>10</v>
      </c>
      <c r="E8" s="88">
        <f>ROUND(B8/D8,0)</f>
        <v>0</v>
      </c>
      <c r="F8" s="88">
        <f>ROUND(E8*1.15,0)</f>
        <v>0</v>
      </c>
      <c r="G8" s="79"/>
    </row>
    <row r="9" spans="1:7">
      <c r="A9" s="14"/>
      <c r="B9" s="54"/>
      <c r="C9" s="54"/>
      <c r="D9" s="21"/>
      <c r="E9" s="88"/>
      <c r="F9" s="88"/>
      <c r="G9" s="79"/>
    </row>
    <row r="10" spans="1:7">
      <c r="A10" s="39" t="s">
        <v>17</v>
      </c>
      <c r="B10" s="41"/>
      <c r="C10" s="41"/>
      <c r="D10" s="41"/>
      <c r="E10" s="41"/>
      <c r="F10" s="41"/>
      <c r="G10" s="79"/>
    </row>
    <row r="11" spans="1:7">
      <c r="A11" s="9" t="s">
        <v>413</v>
      </c>
      <c r="B11" s="54">
        <v>125000</v>
      </c>
      <c r="C11" s="41"/>
      <c r="D11" s="21">
        <v>10</v>
      </c>
      <c r="E11" s="88">
        <f>ROUND(B13/D11,0)</f>
        <v>15402</v>
      </c>
      <c r="F11" s="88">
        <f>ROUND(E11*1.15,0)</f>
        <v>17712</v>
      </c>
    </row>
    <row r="12" spans="1:7">
      <c r="A12" s="9" t="s">
        <v>317</v>
      </c>
      <c r="B12" s="54">
        <v>29016</v>
      </c>
      <c r="C12" s="41"/>
      <c r="D12" s="41"/>
      <c r="E12" s="41"/>
      <c r="F12" s="41"/>
    </row>
    <row r="13" spans="1:7">
      <c r="A13" s="9"/>
      <c r="B13" s="11">
        <f>SUM(B11:B12)</f>
        <v>154016</v>
      </c>
      <c r="C13" s="54">
        <f>B13</f>
        <v>154016</v>
      </c>
      <c r="D13" s="41"/>
      <c r="E13" s="41"/>
      <c r="F13" s="41"/>
    </row>
    <row r="14" spans="1:7">
      <c r="A14" s="9"/>
      <c r="B14" s="41"/>
      <c r="C14" s="41"/>
      <c r="D14" s="41"/>
      <c r="E14" s="41"/>
      <c r="F14" s="41"/>
    </row>
    <row r="15" spans="1:7">
      <c r="A15" s="9"/>
      <c r="B15" s="11"/>
      <c r="C15" s="9"/>
      <c r="D15" s="9"/>
      <c r="E15" s="9"/>
      <c r="F15" s="9"/>
    </row>
    <row r="16" spans="1:7">
      <c r="A16" s="14" t="s">
        <v>184</v>
      </c>
      <c r="B16" s="12"/>
      <c r="C16" s="9"/>
      <c r="D16" s="9"/>
      <c r="E16" s="12">
        <f>SUM(E8:E15)</f>
        <v>15402</v>
      </c>
      <c r="F16" s="12">
        <f>SUM(F8:F15)</f>
        <v>17712</v>
      </c>
    </row>
    <row r="17" spans="2:2">
      <c r="B17" s="4"/>
    </row>
  </sheetData>
  <pageMargins left="0.51181102362204722" right="0.51181102362204722" top="0.74803149606299213" bottom="0.74803149606299213" header="0.31496062992125984" footer="0.31496062992125984"/>
  <pageSetup paperSize="9" scale="50" fitToHeight="0" orientation="portrait" r:id="rId1"/>
  <headerFooter>
    <oddFooter>&amp;L&amp;"-,Bold"Waimakariri District Council&amp;C&amp;D&amp;RPage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2" tint="-0.249977111117893"/>
    <pageSetUpPr fitToPage="1"/>
  </sheetPr>
  <dimension ref="A1:F17"/>
  <sheetViews>
    <sheetView workbookViewId="0">
      <selection activeCell="H8" sqref="H8"/>
    </sheetView>
  </sheetViews>
  <sheetFormatPr defaultColWidth="9.140625" defaultRowHeight="15"/>
  <cols>
    <col min="1" max="1" width="47.5703125" customWidth="1"/>
    <col min="2" max="2" width="11.5703125" bestFit="1" customWidth="1"/>
    <col min="3" max="6" width="14.7109375" customWidth="1"/>
  </cols>
  <sheetData>
    <row r="1" spans="1:6">
      <c r="A1" s="1" t="s">
        <v>0</v>
      </c>
    </row>
    <row r="2" spans="1:6">
      <c r="A2" s="1" t="s">
        <v>315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110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/>
      <c r="B8" s="11"/>
      <c r="C8" s="41"/>
      <c r="D8" s="41"/>
      <c r="E8" s="41"/>
      <c r="F8" s="41"/>
    </row>
    <row r="9" spans="1:6">
      <c r="A9" s="14"/>
      <c r="B9" s="41"/>
      <c r="C9" s="41"/>
      <c r="D9" s="41"/>
      <c r="E9" s="41"/>
      <c r="F9" s="41"/>
    </row>
    <row r="10" spans="1:6">
      <c r="A10" s="39" t="s">
        <v>17</v>
      </c>
      <c r="B10" s="41"/>
      <c r="C10" s="54">
        <f>B8</f>
        <v>0</v>
      </c>
      <c r="D10" s="54">
        <v>64</v>
      </c>
      <c r="E10" s="88">
        <f>ROUND(B8/D10,0)</f>
        <v>0</v>
      </c>
      <c r="F10" s="88">
        <f>ROUND(E10*1.15,0)</f>
        <v>0</v>
      </c>
    </row>
    <row r="11" spans="1:6">
      <c r="A11" s="16" t="s">
        <v>418</v>
      </c>
      <c r="B11" s="91">
        <v>117004</v>
      </c>
      <c r="C11" s="41"/>
      <c r="D11" s="54"/>
      <c r="E11" s="41"/>
      <c r="F11" s="41"/>
    </row>
    <row r="12" spans="1:6">
      <c r="A12" s="16" t="s">
        <v>416</v>
      </c>
      <c r="B12" s="11">
        <v>140000</v>
      </c>
      <c r="C12" s="41"/>
      <c r="D12" s="54"/>
      <c r="E12" s="41"/>
      <c r="F12" s="41"/>
    </row>
    <row r="13" spans="1:6">
      <c r="A13" s="16" t="s">
        <v>417</v>
      </c>
      <c r="B13" s="54">
        <v>128000</v>
      </c>
      <c r="C13" s="41"/>
      <c r="D13" s="54"/>
      <c r="E13" s="41"/>
      <c r="F13" s="41"/>
    </row>
    <row r="14" spans="1:6">
      <c r="B14" s="54">
        <f>SUM(B11:B13)</f>
        <v>385004</v>
      </c>
      <c r="C14" s="54">
        <f>B14</f>
        <v>385004</v>
      </c>
      <c r="D14" s="54">
        <v>64</v>
      </c>
      <c r="E14" s="88">
        <f>ROUND(B14/D14,0)</f>
        <v>6016</v>
      </c>
      <c r="F14" s="88">
        <f>ROUND(E14*1.15,0)</f>
        <v>6918</v>
      </c>
    </row>
    <row r="15" spans="1:6">
      <c r="A15" s="9"/>
      <c r="B15" s="11"/>
      <c r="C15" s="9"/>
      <c r="D15" s="9"/>
      <c r="E15" s="9"/>
      <c r="F15" s="9"/>
    </row>
    <row r="16" spans="1:6">
      <c r="A16" s="14" t="s">
        <v>184</v>
      </c>
      <c r="B16" s="12"/>
      <c r="C16" s="9"/>
      <c r="D16" s="9"/>
      <c r="E16" s="12">
        <f>SUM(E9:E15)</f>
        <v>6016</v>
      </c>
      <c r="F16" s="12">
        <f>SUM(F9:F15)</f>
        <v>6918</v>
      </c>
    </row>
    <row r="17" spans="2:2">
      <c r="B17" s="4"/>
    </row>
  </sheetData>
  <pageMargins left="0.51181102362204722" right="0.51181102362204722" top="0.74803149606299213" bottom="0.74803149606299213" header="0.31496062992125984" footer="0.31496062992125984"/>
  <pageSetup paperSize="9" scale="50" fitToHeight="0" orientation="portrait" r:id="rId1"/>
  <headerFooter>
    <oddFooter>&amp;L&amp;"-,Bold"Waimakariri District Council&amp;C&amp;D&amp;RPage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2" tint="-0.249977111117893"/>
    <pageSetUpPr fitToPage="1"/>
  </sheetPr>
  <dimension ref="A1:F14"/>
  <sheetViews>
    <sheetView workbookViewId="0">
      <selection activeCell="N12" sqref="N12:N13"/>
    </sheetView>
  </sheetViews>
  <sheetFormatPr defaultRowHeight="15"/>
  <cols>
    <col min="1" max="1" width="47.5703125" customWidth="1"/>
    <col min="2" max="2" width="11.5703125" bestFit="1" customWidth="1"/>
    <col min="3" max="6" width="14.7109375" customWidth="1"/>
  </cols>
  <sheetData>
    <row r="1" spans="1:6">
      <c r="A1" s="1" t="s">
        <v>0</v>
      </c>
    </row>
    <row r="2" spans="1:6">
      <c r="A2" s="1" t="s">
        <v>59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110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 t="s">
        <v>525</v>
      </c>
      <c r="B8" s="10">
        <v>60000</v>
      </c>
      <c r="C8" s="9"/>
      <c r="D8" s="9"/>
      <c r="E8" s="9"/>
      <c r="F8" s="9"/>
    </row>
    <row r="9" spans="1:6">
      <c r="A9" s="9"/>
      <c r="B9" s="11">
        <f>SUM(B8:B8)</f>
        <v>60000</v>
      </c>
      <c r="C9" s="10">
        <f>B9</f>
        <v>60000</v>
      </c>
      <c r="D9" s="21">
        <f>536-512</f>
        <v>24</v>
      </c>
      <c r="E9" s="12">
        <f>ROUND(B9/D9,0)</f>
        <v>2500</v>
      </c>
      <c r="F9" s="12">
        <f>ROUND(E9*1.15,0)</f>
        <v>2875</v>
      </c>
    </row>
    <row r="10" spans="1:6">
      <c r="A10" s="9"/>
      <c r="B10" s="11"/>
      <c r="C10" s="9"/>
      <c r="D10" s="9"/>
      <c r="E10" s="9"/>
      <c r="F10" s="9"/>
    </row>
    <row r="11" spans="1:6">
      <c r="A11" s="14" t="s">
        <v>184</v>
      </c>
      <c r="B11" s="9"/>
      <c r="C11" s="9"/>
      <c r="D11" s="9"/>
      <c r="E11" s="12">
        <f>SUM(E9:E10)</f>
        <v>2500</v>
      </c>
      <c r="F11" s="12">
        <f>SUM(F9:F10)</f>
        <v>2875</v>
      </c>
    </row>
    <row r="12" spans="1:6">
      <c r="A12" s="1"/>
    </row>
    <row r="13" spans="1:6">
      <c r="A13" s="1"/>
    </row>
    <row r="14" spans="1:6">
      <c r="A14" s="1"/>
    </row>
  </sheetData>
  <customSheetViews>
    <customSheetView guid="{E62C39C8-EAA6-407C-933E-B5BB52ED1B14}" fitToPage="1">
      <selection activeCell="A4" sqref="A4"/>
      <pageMargins left="0.51181102362204722" right="0.51181102362204722" top="0.74803149606299213" bottom="0.74803149606299213" header="0.31496062992125984" footer="0.31496062992125984"/>
      <pageSetup paperSize="9" scale="78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78" fitToHeight="0" orientation="portrait" r:id="rId2"/>
  <headerFooter>
    <oddFooter>&amp;L&amp;"-,Bold"Waimakariri District Council&amp;C&amp;D&amp;RPage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2" tint="-0.249977111117893"/>
    <pageSetUpPr fitToPage="1"/>
  </sheetPr>
  <dimension ref="A1:L36"/>
  <sheetViews>
    <sheetView workbookViewId="0">
      <selection activeCell="J31" sqref="J31"/>
    </sheetView>
  </sheetViews>
  <sheetFormatPr defaultRowHeight="15"/>
  <cols>
    <col min="1" max="1" width="50.140625" customWidth="1"/>
    <col min="2" max="2" width="11.5703125" bestFit="1" customWidth="1"/>
    <col min="3" max="6" width="14.7109375" customWidth="1"/>
  </cols>
  <sheetData>
    <row r="1" spans="1:12">
      <c r="A1" s="1" t="s">
        <v>0</v>
      </c>
    </row>
    <row r="2" spans="1:12">
      <c r="A2" s="1" t="s">
        <v>208</v>
      </c>
    </row>
    <row r="3" spans="1:12">
      <c r="A3" s="1" t="str">
        <f>'Cust water'!$A$3</f>
        <v>2023-24 Budget for Annual Plan</v>
      </c>
    </row>
    <row r="5" spans="1:12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12">
      <c r="A6" s="14" t="s">
        <v>6</v>
      </c>
      <c r="B6" s="9"/>
      <c r="C6" s="9"/>
      <c r="D6" s="9"/>
      <c r="E6" s="9"/>
      <c r="F6" s="9"/>
    </row>
    <row r="7" spans="1:12">
      <c r="A7" s="39" t="s">
        <v>3</v>
      </c>
      <c r="B7" s="9"/>
      <c r="C7" s="9"/>
      <c r="D7" s="9"/>
      <c r="E7" s="9"/>
      <c r="F7" s="9"/>
    </row>
    <row r="8" spans="1:12">
      <c r="A8" s="9"/>
      <c r="B8" s="77"/>
      <c r="C8" s="9"/>
      <c r="D8" s="9"/>
      <c r="E8" s="9"/>
      <c r="F8" s="9"/>
      <c r="G8" s="79"/>
    </row>
    <row r="9" spans="1:12">
      <c r="A9" s="9"/>
      <c r="B9" s="77"/>
      <c r="C9" s="9"/>
      <c r="D9" s="9"/>
      <c r="E9" s="9"/>
      <c r="F9" s="9"/>
    </row>
    <row r="10" spans="1:12">
      <c r="A10" s="9"/>
      <c r="B10" s="11">
        <f>SUM(B8:B8)</f>
        <v>0</v>
      </c>
      <c r="C10" s="10">
        <f>B10*707/D10</f>
        <v>0</v>
      </c>
      <c r="D10" s="21">
        <v>1814</v>
      </c>
      <c r="E10" s="12">
        <f>ROUND(B10/D10,0)</f>
        <v>0</v>
      </c>
      <c r="F10" s="12">
        <f>ROUND(E10*1.15,0)</f>
        <v>0</v>
      </c>
    </row>
    <row r="11" spans="1:12">
      <c r="A11" s="14"/>
      <c r="B11" s="9"/>
      <c r="C11" s="10"/>
      <c r="D11" s="21"/>
      <c r="E11" s="12"/>
      <c r="F11" s="12"/>
    </row>
    <row r="12" spans="1:12">
      <c r="A12" s="39" t="s">
        <v>17</v>
      </c>
      <c r="B12" s="9"/>
      <c r="C12" s="9"/>
      <c r="D12" s="9"/>
      <c r="E12" s="9"/>
      <c r="F12" s="9"/>
    </row>
    <row r="13" spans="1:12">
      <c r="A13" s="9"/>
      <c r="B13" s="10"/>
      <c r="C13" s="9"/>
      <c r="D13" s="9"/>
      <c r="E13" s="9"/>
      <c r="F13" s="9"/>
    </row>
    <row r="14" spans="1:12">
      <c r="A14" s="9"/>
      <c r="B14" s="10"/>
      <c r="C14" s="9"/>
      <c r="D14" s="9"/>
      <c r="E14" s="9"/>
      <c r="F14" s="9"/>
      <c r="G14" s="31"/>
      <c r="H14" s="31"/>
      <c r="I14" s="31"/>
      <c r="J14" s="31"/>
      <c r="K14" s="31"/>
      <c r="L14" s="31"/>
    </row>
    <row r="15" spans="1:12">
      <c r="A15" s="9"/>
      <c r="B15" s="9"/>
      <c r="C15" s="9"/>
      <c r="D15" s="9"/>
      <c r="E15" s="9"/>
      <c r="F15" s="9"/>
    </row>
    <row r="16" spans="1:12">
      <c r="A16" s="9"/>
      <c r="B16" s="10">
        <f>SUM(B13:B15)</f>
        <v>0</v>
      </c>
      <c r="C16" s="10">
        <f>B16*707/D16</f>
        <v>0</v>
      </c>
      <c r="D16" s="21">
        <v>1703</v>
      </c>
      <c r="E16" s="12">
        <f>ROUND(B16/D16,0)</f>
        <v>0</v>
      </c>
      <c r="F16" s="12">
        <f>ROUND(E16*1.15,0)</f>
        <v>0</v>
      </c>
    </row>
    <row r="17" spans="1:6">
      <c r="A17" s="9"/>
      <c r="B17" s="11"/>
      <c r="C17" s="9"/>
      <c r="D17" s="9"/>
      <c r="E17" s="9"/>
      <c r="F17" s="9"/>
    </row>
    <row r="18" spans="1:6">
      <c r="A18" s="9"/>
      <c r="B18" s="11"/>
      <c r="C18" s="9"/>
      <c r="D18" s="9"/>
      <c r="E18" s="9"/>
      <c r="F18" s="9"/>
    </row>
    <row r="19" spans="1:6">
      <c r="A19" s="14" t="s">
        <v>184</v>
      </c>
      <c r="B19" s="12"/>
      <c r="C19" s="9"/>
      <c r="D19" s="9"/>
      <c r="E19" s="12">
        <f>SUM(E10:E18)</f>
        <v>0</v>
      </c>
      <c r="F19" s="12">
        <f>SUM(F10:F18)</f>
        <v>0</v>
      </c>
    </row>
    <row r="20" spans="1:6">
      <c r="B20" s="4"/>
    </row>
    <row r="36" ht="13.5" customHeight="1"/>
  </sheetData>
  <customSheetViews>
    <customSheetView guid="{E62C39C8-EAA6-407C-933E-B5BB52ED1B14}" fitToPage="1">
      <selection activeCell="A23" sqref="A23"/>
      <pageMargins left="0.51181102362204722" right="0.51181102362204722" top="0.74803149606299213" bottom="0.74803149606299213" header="0.31496062992125984" footer="0.31496062992125984"/>
      <pageSetup paperSize="9" scale="78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78" fitToHeight="0" orientation="portrait" r:id="rId2"/>
  <headerFooter>
    <oddFooter>&amp;L&amp;"-,Bold"Waimakariri District Council&amp;C&amp;D&amp;RPage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2" tint="-0.249977111117893"/>
    <pageSetUpPr fitToPage="1"/>
  </sheetPr>
  <dimension ref="A1:M22"/>
  <sheetViews>
    <sheetView workbookViewId="0">
      <selection activeCell="I22" sqref="I22"/>
    </sheetView>
  </sheetViews>
  <sheetFormatPr defaultRowHeight="15"/>
  <cols>
    <col min="1" max="1" width="47.5703125" customWidth="1"/>
    <col min="2" max="2" width="11.5703125" bestFit="1" customWidth="1"/>
    <col min="3" max="6" width="14.7109375" customWidth="1"/>
    <col min="8" max="8" width="13.28515625" bestFit="1" customWidth="1"/>
  </cols>
  <sheetData>
    <row r="1" spans="1:13">
      <c r="A1" s="1" t="s">
        <v>0</v>
      </c>
    </row>
    <row r="2" spans="1:13">
      <c r="A2" s="1" t="s">
        <v>209</v>
      </c>
    </row>
    <row r="3" spans="1:13">
      <c r="A3" s="1" t="str">
        <f>'Cust water'!$A$3</f>
        <v>2023-24 Budget for Annual Plan</v>
      </c>
    </row>
    <row r="5" spans="1:13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13">
      <c r="A6" s="14" t="s">
        <v>110</v>
      </c>
      <c r="B6" s="9"/>
      <c r="C6" s="9"/>
      <c r="D6" s="9"/>
      <c r="E6" s="9"/>
      <c r="F6" s="9"/>
    </row>
    <row r="7" spans="1:13">
      <c r="A7" s="39" t="s">
        <v>3</v>
      </c>
      <c r="B7" s="9"/>
      <c r="C7" s="9"/>
      <c r="D7" s="9"/>
      <c r="E7" s="9"/>
      <c r="F7" s="9"/>
    </row>
    <row r="8" spans="1:13">
      <c r="A8" s="9"/>
      <c r="B8" s="10"/>
      <c r="C8" s="9"/>
      <c r="D8" s="9"/>
      <c r="E8" s="9"/>
      <c r="F8" s="9"/>
    </row>
    <row r="9" spans="1:13">
      <c r="A9" s="9"/>
      <c r="B9" s="11"/>
      <c r="C9" s="10"/>
      <c r="D9" s="21"/>
      <c r="E9" s="12"/>
      <c r="F9" s="12"/>
    </row>
    <row r="10" spans="1:13">
      <c r="A10" s="14"/>
      <c r="B10" s="9"/>
      <c r="C10" s="9"/>
      <c r="D10" s="9"/>
      <c r="E10" s="9"/>
      <c r="F10" s="9"/>
    </row>
    <row r="11" spans="1:13">
      <c r="A11" s="39" t="s">
        <v>17</v>
      </c>
      <c r="B11" s="41"/>
      <c r="C11" s="41"/>
      <c r="D11" s="41"/>
      <c r="E11" s="41"/>
      <c r="F11" s="41"/>
    </row>
    <row r="12" spans="1:13">
      <c r="A12" s="9" t="s">
        <v>123</v>
      </c>
      <c r="B12" s="54">
        <v>200076</v>
      </c>
      <c r="C12" s="41"/>
      <c r="D12" s="41"/>
      <c r="E12" s="41"/>
      <c r="F12" s="41"/>
      <c r="G12" s="79"/>
    </row>
    <row r="13" spans="1:13">
      <c r="A13" s="9" t="s">
        <v>124</v>
      </c>
      <c r="B13" s="54">
        <v>409888</v>
      </c>
      <c r="C13" s="41"/>
      <c r="D13" s="41"/>
      <c r="E13" s="41"/>
      <c r="F13" s="41"/>
      <c r="G13" s="79"/>
      <c r="I13" s="31"/>
      <c r="J13" s="31"/>
      <c r="K13" s="31"/>
      <c r="L13" s="31"/>
      <c r="M13" s="31"/>
    </row>
    <row r="14" spans="1:13">
      <c r="A14" s="9" t="s">
        <v>125</v>
      </c>
      <c r="B14" s="54">
        <v>1194867</v>
      </c>
      <c r="C14" s="41"/>
      <c r="D14" s="41"/>
      <c r="E14" s="41"/>
      <c r="F14" s="41"/>
      <c r="G14" s="79"/>
    </row>
    <row r="15" spans="1:13">
      <c r="A15" s="9" t="s">
        <v>126</v>
      </c>
      <c r="B15" s="54">
        <v>50267</v>
      </c>
      <c r="C15" s="41"/>
      <c r="D15" s="41"/>
      <c r="E15" s="41"/>
      <c r="F15" s="41"/>
      <c r="H15" s="2"/>
    </row>
    <row r="16" spans="1:13">
      <c r="A16" s="9" t="s">
        <v>306</v>
      </c>
      <c r="B16" s="54">
        <v>39099</v>
      </c>
      <c r="C16" s="41"/>
      <c r="D16" s="41"/>
      <c r="E16" s="41"/>
      <c r="F16" s="41"/>
      <c r="G16" s="79"/>
    </row>
    <row r="17" spans="1:8">
      <c r="A17" s="9" t="s">
        <v>56</v>
      </c>
      <c r="B17" s="54">
        <v>192390</v>
      </c>
      <c r="C17" s="41"/>
      <c r="D17" s="41"/>
      <c r="E17" s="41"/>
      <c r="F17" s="41"/>
      <c r="G17" s="79"/>
      <c r="H17" s="31"/>
    </row>
    <row r="18" spans="1:8">
      <c r="A18" s="9"/>
      <c r="B18" s="41"/>
      <c r="C18" s="41"/>
      <c r="D18" s="41"/>
      <c r="E18" s="41"/>
      <c r="F18" s="41"/>
    </row>
    <row r="19" spans="1:8">
      <c r="A19" s="9"/>
      <c r="B19" s="54">
        <f>SUM(B12:B18)</f>
        <v>2086587</v>
      </c>
      <c r="C19" s="54">
        <f>B19</f>
        <v>2086587</v>
      </c>
      <c r="D19" s="21">
        <v>286</v>
      </c>
      <c r="E19" s="88">
        <f>ROUND(B19/D19,0)</f>
        <v>7296</v>
      </c>
      <c r="F19" s="88">
        <f>ROUND(E19*1.15,0)</f>
        <v>8390</v>
      </c>
    </row>
    <row r="20" spans="1:8">
      <c r="A20" s="9"/>
      <c r="B20" s="11"/>
      <c r="C20" s="9"/>
      <c r="D20" s="9"/>
      <c r="E20" s="9"/>
      <c r="F20" s="9"/>
    </row>
    <row r="21" spans="1:8">
      <c r="A21" s="14" t="s">
        <v>184</v>
      </c>
      <c r="B21" s="12"/>
      <c r="C21" s="9"/>
      <c r="D21" s="9"/>
      <c r="E21" s="12">
        <f>SUM(E8:E20)</f>
        <v>7296</v>
      </c>
      <c r="F21" s="12">
        <f>SUM(F8:F20)</f>
        <v>8390</v>
      </c>
    </row>
    <row r="22" spans="1:8">
      <c r="B22" s="4"/>
    </row>
  </sheetData>
  <customSheetViews>
    <customSheetView guid="{E62C39C8-EAA6-407C-933E-B5BB52ED1B14}" fitToPage="1">
      <selection activeCell="B24" sqref="B24"/>
      <pageMargins left="0.51181102362204722" right="0.51181102362204722" top="0.74803149606299213" bottom="0.74803149606299213" header="0.31496062992125984" footer="0.31496062992125984"/>
      <pageSetup paperSize="9" scale="78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0" fitToHeight="0" orientation="portrait" r:id="rId2"/>
  <headerFooter>
    <oddFooter>&amp;L&amp;"-,Bold"Waimakariri District Council&amp;C&amp;D&amp;RPage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2" tint="-0.249977111117893"/>
    <pageSetUpPr fitToPage="1"/>
  </sheetPr>
  <dimension ref="A1:F18"/>
  <sheetViews>
    <sheetView workbookViewId="0">
      <selection activeCell="I8" sqref="I8"/>
    </sheetView>
  </sheetViews>
  <sheetFormatPr defaultColWidth="9.140625" defaultRowHeight="15"/>
  <cols>
    <col min="1" max="1" width="47.5703125" customWidth="1"/>
    <col min="2" max="2" width="11.5703125" bestFit="1" customWidth="1"/>
    <col min="3" max="6" width="14.7109375" customWidth="1"/>
  </cols>
  <sheetData>
    <row r="1" spans="1:6">
      <c r="A1" s="1" t="s">
        <v>0</v>
      </c>
    </row>
    <row r="2" spans="1:6">
      <c r="A2" s="1" t="s">
        <v>421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110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/>
      <c r="B8" s="54"/>
      <c r="C8" s="41"/>
      <c r="D8" s="41"/>
      <c r="E8" s="41"/>
      <c r="F8" s="41"/>
    </row>
    <row r="9" spans="1:6">
      <c r="A9" s="14"/>
      <c r="B9" s="41"/>
      <c r="C9" s="54">
        <f>B8</f>
        <v>0</v>
      </c>
      <c r="D9" s="54">
        <v>125</v>
      </c>
      <c r="E9" s="88">
        <f>ROUND(B8/D9,0)</f>
        <v>0</v>
      </c>
      <c r="F9" s="88">
        <f>ROUND(E9*1.15,0)</f>
        <v>0</v>
      </c>
    </row>
    <row r="10" spans="1:6">
      <c r="A10" s="14"/>
      <c r="B10" s="41"/>
      <c r="C10" s="41"/>
      <c r="D10" s="41"/>
      <c r="E10" s="41"/>
      <c r="F10" s="41"/>
    </row>
    <row r="11" spans="1:6">
      <c r="A11" s="39" t="s">
        <v>17</v>
      </c>
      <c r="B11" s="41"/>
    </row>
    <row r="12" spans="1:6">
      <c r="A12" s="9" t="s">
        <v>419</v>
      </c>
      <c r="B12" s="54">
        <v>1470000</v>
      </c>
      <c r="C12" s="41"/>
      <c r="D12" s="54"/>
      <c r="E12" s="41"/>
      <c r="F12" s="41"/>
    </row>
    <row r="13" spans="1:6">
      <c r="A13" s="9" t="s">
        <v>56</v>
      </c>
      <c r="B13" s="54">
        <v>527231</v>
      </c>
      <c r="C13" s="41"/>
      <c r="D13" s="54"/>
      <c r="E13" s="41"/>
      <c r="F13" s="41"/>
    </row>
    <row r="14" spans="1:6">
      <c r="A14" s="9"/>
      <c r="B14" s="41"/>
      <c r="C14" s="41"/>
      <c r="D14" s="54"/>
      <c r="E14" s="41"/>
      <c r="F14" s="41"/>
    </row>
    <row r="15" spans="1:6">
      <c r="A15" s="9"/>
      <c r="B15" s="54">
        <f>SUM(B12:B13)</f>
        <v>1997231</v>
      </c>
      <c r="C15" s="54">
        <f>B15</f>
        <v>1997231</v>
      </c>
      <c r="D15" s="54">
        <v>125</v>
      </c>
      <c r="E15" s="88">
        <f>ROUND(B15/D15,0)</f>
        <v>15978</v>
      </c>
      <c r="F15" s="88">
        <f>ROUND(E15*1.15,0)</f>
        <v>18375</v>
      </c>
    </row>
    <row r="16" spans="1:6">
      <c r="A16" s="9"/>
      <c r="B16" s="11"/>
      <c r="C16" s="9"/>
      <c r="D16" s="9"/>
      <c r="E16" s="9"/>
      <c r="F16" s="9"/>
    </row>
    <row r="17" spans="1:6">
      <c r="A17" s="14" t="s">
        <v>184</v>
      </c>
      <c r="B17" s="12"/>
      <c r="C17" s="9"/>
      <c r="D17" s="9"/>
      <c r="E17" s="12">
        <f>SUM(E8:E16)</f>
        <v>15978</v>
      </c>
      <c r="F17" s="12">
        <f>SUM(F8:F16)</f>
        <v>18375</v>
      </c>
    </row>
    <row r="18" spans="1:6">
      <c r="B18" s="4"/>
    </row>
  </sheetData>
  <pageMargins left="0.51181102362204722" right="0.51181102362204722" top="0.74803149606299213" bottom="0.74803149606299213" header="0.31496062992125984" footer="0.31496062992125984"/>
  <pageSetup paperSize="9" scale="50" fitToHeight="0" orientation="portrait" r:id="rId1"/>
  <headerFooter>
    <oddFooter>&amp;L&amp;"-,Bold"Waimakariri District Council&amp;C&amp;D&amp;RPage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39997558519241921"/>
    <pageSetUpPr fitToPage="1"/>
  </sheetPr>
  <dimension ref="A1:L12"/>
  <sheetViews>
    <sheetView workbookViewId="0">
      <selection activeCell="J16" sqref="J16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12">
      <c r="A1" s="1" t="s">
        <v>0</v>
      </c>
    </row>
    <row r="2" spans="1:12">
      <c r="A2" s="1" t="s">
        <v>133</v>
      </c>
    </row>
    <row r="3" spans="1:12">
      <c r="A3" s="1" t="str">
        <f>'Cust water'!$A$3</f>
        <v>2023-24 Budget for Annual Plan</v>
      </c>
    </row>
    <row r="5" spans="1:12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12">
      <c r="A6" s="14" t="s">
        <v>6</v>
      </c>
      <c r="B6" s="9"/>
      <c r="C6" s="9"/>
      <c r="D6" s="9"/>
      <c r="E6" s="9"/>
      <c r="F6" s="9"/>
    </row>
    <row r="7" spans="1:12">
      <c r="A7" s="39" t="s">
        <v>313</v>
      </c>
      <c r="B7" s="9"/>
      <c r="C7" s="9"/>
      <c r="D7" s="9"/>
      <c r="E7" s="9"/>
      <c r="F7" s="9"/>
    </row>
    <row r="8" spans="1:12">
      <c r="A8" s="9"/>
      <c r="B8" s="11"/>
      <c r="C8" s="9"/>
      <c r="D8" s="11">
        <v>750</v>
      </c>
      <c r="E8" s="9"/>
      <c r="F8" s="9"/>
    </row>
    <row r="9" spans="1:12">
      <c r="A9" s="9"/>
      <c r="B9" s="9"/>
      <c r="C9" s="9"/>
      <c r="D9" s="9"/>
      <c r="E9" s="9"/>
      <c r="F9" s="9"/>
    </row>
    <row r="10" spans="1:12">
      <c r="A10" s="9"/>
      <c r="B10" s="10">
        <f>SUM(B8:B9)</f>
        <v>0</v>
      </c>
      <c r="C10" s="10">
        <f>B10*1329/D10</f>
        <v>0</v>
      </c>
      <c r="D10" s="11">
        <v>750</v>
      </c>
      <c r="E10" s="12">
        <f>ROUND(B10/D10,0)</f>
        <v>0</v>
      </c>
      <c r="F10" s="12">
        <f>ROUND(E10*1.15,0)</f>
        <v>0</v>
      </c>
      <c r="L10" s="31"/>
    </row>
    <row r="11" spans="1:12">
      <c r="A11" s="9"/>
      <c r="B11" s="11"/>
      <c r="C11" s="9"/>
      <c r="D11" s="9"/>
      <c r="E11" s="9"/>
      <c r="F11" s="9"/>
    </row>
    <row r="12" spans="1:12">
      <c r="A12" s="14" t="s">
        <v>184</v>
      </c>
      <c r="B12" s="9"/>
      <c r="C12" s="9"/>
      <c r="D12" s="9"/>
      <c r="E12" s="12">
        <f>SUM(E6:E11)</f>
        <v>0</v>
      </c>
      <c r="F12" s="12">
        <f>SUM(F6:F11)</f>
        <v>0</v>
      </c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9" fitToHeight="0" orientation="portrait" r:id="rId2"/>
  <headerFooter>
    <oddFooter>&amp;L&amp;"-,Bold"Waimakariri District Council &amp;C&amp;D&amp;RPage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39997558519241921"/>
    <pageSetUpPr fitToPage="1"/>
  </sheetPr>
  <dimension ref="A1:O14"/>
  <sheetViews>
    <sheetView workbookViewId="0">
      <selection activeCell="H10" sqref="H10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  <col min="14" max="14" width="16" customWidth="1"/>
  </cols>
  <sheetData>
    <row r="1" spans="1:15">
      <c r="A1" s="1" t="s">
        <v>0</v>
      </c>
    </row>
    <row r="2" spans="1:15">
      <c r="A2" s="1" t="s">
        <v>210</v>
      </c>
    </row>
    <row r="3" spans="1:15">
      <c r="A3" s="1" t="str">
        <f>'Cust water'!$A$3</f>
        <v>2023-24 Budget for Annual Plan</v>
      </c>
    </row>
    <row r="5" spans="1:15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15">
      <c r="A6" s="14" t="s">
        <v>6</v>
      </c>
      <c r="B6" s="9"/>
      <c r="C6" s="9"/>
      <c r="D6" s="9"/>
      <c r="E6" s="9"/>
      <c r="F6" s="9"/>
    </row>
    <row r="7" spans="1:15">
      <c r="A7" s="39" t="s">
        <v>3</v>
      </c>
      <c r="B7" s="9"/>
      <c r="C7" s="9"/>
      <c r="D7" s="9"/>
      <c r="E7" s="9"/>
      <c r="F7" s="9"/>
    </row>
    <row r="8" spans="1:15">
      <c r="A8" s="39"/>
      <c r="B8" s="9"/>
      <c r="C8" s="9"/>
      <c r="D8" s="9"/>
      <c r="E8" s="9"/>
      <c r="F8" s="9"/>
    </row>
    <row r="9" spans="1:15">
      <c r="A9" s="9"/>
      <c r="B9" s="11" t="s">
        <v>368</v>
      </c>
      <c r="C9" s="54" t="str">
        <f>B9</f>
        <v>-</v>
      </c>
      <c r="D9" s="11">
        <v>6066</v>
      </c>
      <c r="E9" s="12" t="s">
        <v>368</v>
      </c>
      <c r="F9" s="12" t="s">
        <v>368</v>
      </c>
      <c r="O9" s="31"/>
    </row>
    <row r="10" spans="1:15">
      <c r="A10" s="39" t="s">
        <v>7</v>
      </c>
      <c r="B10" s="9"/>
      <c r="C10" s="9"/>
      <c r="D10" s="9"/>
      <c r="E10" s="9"/>
      <c r="F10" s="9"/>
    </row>
    <row r="11" spans="1:15">
      <c r="A11" s="9"/>
      <c r="B11" s="9"/>
      <c r="C11" s="9"/>
      <c r="D11" s="9"/>
      <c r="E11" s="9"/>
      <c r="F11" s="9"/>
    </row>
    <row r="12" spans="1:15">
      <c r="A12" s="9"/>
      <c r="B12" s="10">
        <f>SUM(B11:B11)</f>
        <v>0</v>
      </c>
      <c r="C12" s="10">
        <f>B12*423/D12</f>
        <v>0</v>
      </c>
      <c r="D12" s="11">
        <v>6066</v>
      </c>
      <c r="E12" s="12">
        <f>ROUND(B12/D12,0)</f>
        <v>0</v>
      </c>
      <c r="F12" s="12">
        <f>ROUND(E12*1.15,0)</f>
        <v>0</v>
      </c>
    </row>
    <row r="13" spans="1:15">
      <c r="A13" s="9"/>
      <c r="B13" s="11"/>
      <c r="C13" s="9"/>
      <c r="D13" s="9"/>
      <c r="E13" s="9"/>
      <c r="F13" s="9"/>
    </row>
    <row r="14" spans="1:15">
      <c r="A14" s="14" t="s">
        <v>184</v>
      </c>
      <c r="B14" s="9"/>
      <c r="C14" s="9"/>
      <c r="D14" s="9"/>
      <c r="E14" s="12">
        <f>SUM(E6:E13)</f>
        <v>0</v>
      </c>
      <c r="F14" s="12">
        <f>SUM(F6:F13)</f>
        <v>0</v>
      </c>
    </row>
  </sheetData>
  <customSheetViews>
    <customSheetView guid="{E62C39C8-EAA6-407C-933E-B5BB52ED1B14}" fitToPage="1">
      <selection activeCell="B15" sqref="B15"/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3" fitToHeight="0" orientation="portrait" r:id="rId2"/>
  <headerFooter>
    <oddFooter>&amp;L&amp;"-,Bold"Waimakariri District Council 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XFC22"/>
  <sheetViews>
    <sheetView workbookViewId="0">
      <selection activeCell="C29" sqref="C29"/>
    </sheetView>
  </sheetViews>
  <sheetFormatPr defaultRowHeight="15"/>
  <cols>
    <col min="1" max="1" width="56.85546875" customWidth="1"/>
    <col min="2" max="2" width="13.28515625" style="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39</v>
      </c>
    </row>
    <row r="3" spans="1:6">
      <c r="A3" s="1" t="str">
        <f>'Cust water'!A3</f>
        <v>2023-24 Budget for Annual Plan</v>
      </c>
    </row>
    <row r="4" spans="1:6" ht="90">
      <c r="A4" s="9"/>
      <c r="B4" s="44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14" t="s">
        <v>4</v>
      </c>
      <c r="B5" s="26"/>
      <c r="C5" s="9"/>
      <c r="D5" s="9"/>
      <c r="E5" s="9"/>
      <c r="F5" s="9"/>
    </row>
    <row r="6" spans="1:6">
      <c r="A6" s="39" t="s">
        <v>3</v>
      </c>
      <c r="B6" s="45"/>
      <c r="C6" s="41"/>
      <c r="D6" s="41"/>
      <c r="E6" s="41"/>
      <c r="F6" s="41"/>
    </row>
    <row r="7" spans="1:6">
      <c r="A7" s="9" t="s">
        <v>319</v>
      </c>
      <c r="B7" s="45">
        <v>630000</v>
      </c>
      <c r="C7" s="41"/>
      <c r="D7" s="41"/>
      <c r="E7" s="41"/>
      <c r="F7" s="41"/>
    </row>
    <row r="8" spans="1:6">
      <c r="A8" s="9" t="s">
        <v>465</v>
      </c>
      <c r="B8" s="45">
        <v>430000</v>
      </c>
      <c r="C8" s="41"/>
      <c r="D8" s="41"/>
      <c r="E8" s="41"/>
      <c r="F8" s="41"/>
    </row>
    <row r="9" spans="1:6">
      <c r="A9" s="9" t="s">
        <v>481</v>
      </c>
      <c r="B9" s="45">
        <v>27000</v>
      </c>
      <c r="C9" s="41"/>
      <c r="D9" s="41"/>
      <c r="E9" s="41"/>
      <c r="F9" s="41"/>
    </row>
    <row r="10" spans="1:6">
      <c r="A10" s="9"/>
      <c r="B10" s="45">
        <f>SUM(B6:B9)</f>
        <v>1087000</v>
      </c>
      <c r="C10" s="54">
        <f>B10</f>
        <v>1087000</v>
      </c>
      <c r="D10" s="11">
        <v>708</v>
      </c>
      <c r="E10" s="88">
        <f>ROUND(B10/D10,0)</f>
        <v>1535</v>
      </c>
      <c r="F10" s="88">
        <f>ROUND(E10*1.15,0)</f>
        <v>1765</v>
      </c>
    </row>
    <row r="11" spans="1:6">
      <c r="A11" s="9"/>
      <c r="B11" s="45"/>
      <c r="C11" s="54"/>
      <c r="D11" s="11"/>
      <c r="E11" s="88"/>
      <c r="F11" s="88"/>
    </row>
    <row r="12" spans="1:6">
      <c r="A12" s="39" t="s">
        <v>7</v>
      </c>
      <c r="B12" s="45"/>
      <c r="C12" s="41"/>
      <c r="D12" s="41"/>
      <c r="E12" s="41"/>
      <c r="F12" s="41"/>
    </row>
    <row r="13" spans="1:6">
      <c r="A13" s="9" t="s">
        <v>60</v>
      </c>
      <c r="B13" s="45">
        <v>154919</v>
      </c>
      <c r="C13" s="41"/>
      <c r="D13" s="41"/>
      <c r="E13" s="41"/>
      <c r="F13" s="41"/>
    </row>
    <row r="14" spans="1:6">
      <c r="A14" s="9"/>
      <c r="B14" s="45">
        <f>SUM(B13:B13)</f>
        <v>154919</v>
      </c>
      <c r="C14" s="54">
        <f>ROUND(D10/D14*B14,0)</f>
        <v>154919</v>
      </c>
      <c r="D14" s="11">
        <v>708</v>
      </c>
      <c r="E14" s="88">
        <f>ROUND(B14/D14,0)</f>
        <v>219</v>
      </c>
      <c r="F14" s="88">
        <f>ROUNDUP(E14*1.15,0)</f>
        <v>252</v>
      </c>
    </row>
    <row r="15" spans="1:6">
      <c r="A15" s="9"/>
      <c r="B15" s="45"/>
      <c r="C15" s="54"/>
      <c r="D15" s="11"/>
      <c r="E15" s="88"/>
      <c r="F15" s="88"/>
    </row>
    <row r="16" spans="1:6">
      <c r="A16" s="14" t="s">
        <v>6</v>
      </c>
      <c r="B16" s="45"/>
      <c r="C16" s="41"/>
      <c r="D16" s="41"/>
      <c r="E16" s="41"/>
      <c r="F16" s="41"/>
    </row>
    <row r="17" spans="1:16383">
      <c r="A17" s="39" t="s">
        <v>3</v>
      </c>
      <c r="B17" s="114"/>
      <c r="C17" s="40"/>
      <c r="D17" s="40"/>
      <c r="E17" s="40"/>
      <c r="F17" s="4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  <c r="XFC17" s="6"/>
    </row>
    <row r="18" spans="1:16383">
      <c r="A18" s="9"/>
      <c r="B18" s="45"/>
      <c r="C18" s="40"/>
      <c r="D18" s="40"/>
      <c r="E18" s="40"/>
      <c r="F18" s="4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  <c r="XEW18" s="6"/>
      <c r="XEX18" s="6"/>
      <c r="XEY18" s="6"/>
      <c r="XEZ18" s="6"/>
      <c r="XFA18" s="6"/>
      <c r="XFB18" s="6"/>
      <c r="XFC18" s="6"/>
    </row>
    <row r="19" spans="1:16383">
      <c r="A19" s="9"/>
      <c r="B19" s="45">
        <f>SUM(B18:B18)</f>
        <v>0</v>
      </c>
      <c r="C19" s="11">
        <f>ROUND(D10/D14*B19,0)</f>
        <v>0</v>
      </c>
      <c r="D19" s="91">
        <v>6768</v>
      </c>
      <c r="E19" s="88">
        <f>ROUND(B19/D19,0)</f>
        <v>0</v>
      </c>
      <c r="F19" s="88">
        <f>ROUND(E19*1.15,0)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</row>
    <row r="20" spans="1:16383">
      <c r="A20" s="9"/>
      <c r="B20" s="45"/>
      <c r="C20" s="11"/>
      <c r="D20" s="11"/>
      <c r="E20" s="12"/>
      <c r="F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</row>
    <row r="21" spans="1:16383">
      <c r="A21" s="9"/>
      <c r="B21" s="45"/>
      <c r="C21" s="9"/>
      <c r="D21" s="9"/>
      <c r="E21" s="9"/>
      <c r="F21" s="9"/>
    </row>
    <row r="22" spans="1:16383">
      <c r="A22" s="14" t="s">
        <v>184</v>
      </c>
      <c r="B22" s="26"/>
      <c r="C22" s="9"/>
      <c r="D22" s="12"/>
      <c r="E22" s="12">
        <f>SUM(E4:E21)</f>
        <v>1754</v>
      </c>
      <c r="F22" s="12">
        <f>SUM(F4:F21)</f>
        <v>2017</v>
      </c>
    </row>
  </sheetData>
  <customSheetViews>
    <customSheetView guid="{E62C39C8-EAA6-407C-933E-B5BB52ED1B14}" fitToPage="1">
      <selection activeCell="C29" sqref="C29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49" fitToHeight="0" orientation="portrait" r:id="rId2"/>
  <headerFooter>
    <oddFooter>&amp;L&amp;"-,Bold"Waimakariri District Council&amp;C&amp;D&amp;RPage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9" tint="0.39997558519241921"/>
    <pageSetUpPr fitToPage="1"/>
  </sheetPr>
  <dimension ref="A1:G24"/>
  <sheetViews>
    <sheetView workbookViewId="0">
      <selection activeCell="I5" sqref="I5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7">
      <c r="A1" s="1" t="s">
        <v>0</v>
      </c>
    </row>
    <row r="2" spans="1:7">
      <c r="A2" s="1" t="s">
        <v>211</v>
      </c>
    </row>
    <row r="3" spans="1:7">
      <c r="A3" s="1" t="str">
        <f>'Cust water'!$A$3</f>
        <v>2023-24 Budget for Annual Plan</v>
      </c>
    </row>
    <row r="4" spans="1:7">
      <c r="G4" s="84"/>
    </row>
    <row r="5" spans="1:7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7">
      <c r="A6" s="14" t="s">
        <v>110</v>
      </c>
      <c r="B6" s="9"/>
      <c r="C6" s="9"/>
      <c r="D6" s="9"/>
      <c r="E6" s="9"/>
      <c r="F6" s="9"/>
    </row>
    <row r="7" spans="1:7">
      <c r="A7" s="39" t="s">
        <v>3</v>
      </c>
      <c r="B7" s="9"/>
      <c r="C7" s="9"/>
      <c r="D7" s="9"/>
      <c r="E7" s="9"/>
      <c r="F7" s="9"/>
    </row>
    <row r="8" spans="1:7">
      <c r="A8" s="9"/>
      <c r="B8" s="10"/>
      <c r="C8" s="9"/>
      <c r="D8" s="9"/>
      <c r="E8" s="9"/>
      <c r="F8" s="9"/>
    </row>
    <row r="9" spans="1:7">
      <c r="A9" s="9"/>
      <c r="B9" s="11">
        <f>SUM(B8:B8)</f>
        <v>0</v>
      </c>
      <c r="C9" s="10">
        <f>B9</f>
        <v>0</v>
      </c>
      <c r="D9" s="11">
        <v>860</v>
      </c>
      <c r="E9" s="12">
        <f>ROUND(B9/D9,0)</f>
        <v>0</v>
      </c>
      <c r="F9" s="12">
        <f>ROUNDUP(E9*1.15,0)</f>
        <v>0</v>
      </c>
    </row>
    <row r="10" spans="1:7">
      <c r="A10" s="39" t="s">
        <v>296</v>
      </c>
      <c r="B10" s="9"/>
      <c r="C10" s="9"/>
      <c r="D10" s="9"/>
      <c r="E10" s="9"/>
      <c r="F10" s="9"/>
    </row>
    <row r="11" spans="1:7">
      <c r="A11" s="9"/>
      <c r="B11" s="11"/>
      <c r="C11" s="9"/>
      <c r="D11" s="9"/>
      <c r="E11" s="9"/>
      <c r="F11" s="9"/>
    </row>
    <row r="12" spans="1:7">
      <c r="A12" s="14" t="s">
        <v>184</v>
      </c>
      <c r="B12" s="9"/>
      <c r="C12" s="9"/>
      <c r="D12" s="9"/>
      <c r="E12" s="12">
        <f>SUM(E6:E11)</f>
        <v>0</v>
      </c>
      <c r="F12" s="12">
        <f>SUM(F6:F11)</f>
        <v>0</v>
      </c>
    </row>
    <row r="13" spans="1:7">
      <c r="A13" s="9"/>
      <c r="B13" s="9"/>
      <c r="C13" s="9"/>
      <c r="D13" s="9"/>
      <c r="E13" s="9"/>
      <c r="F13" s="9"/>
    </row>
    <row r="14" spans="1:7">
      <c r="A14" s="9"/>
      <c r="B14" s="9"/>
      <c r="C14" s="9"/>
      <c r="D14" s="9"/>
      <c r="E14" s="9"/>
      <c r="F14" s="9"/>
    </row>
    <row r="15" spans="1:7">
      <c r="A15" s="9"/>
      <c r="B15" s="9"/>
      <c r="C15" s="9"/>
      <c r="D15" s="9"/>
      <c r="E15" s="9"/>
      <c r="F15" s="9"/>
    </row>
    <row r="16" spans="1:7" ht="45">
      <c r="A16" s="9"/>
      <c r="B16" s="9"/>
      <c r="C16" s="16" t="s">
        <v>32</v>
      </c>
      <c r="D16" s="16" t="s">
        <v>140</v>
      </c>
      <c r="E16" s="16" t="s">
        <v>182</v>
      </c>
      <c r="F16" s="16" t="s">
        <v>183</v>
      </c>
    </row>
    <row r="17" spans="1:6">
      <c r="A17" s="14" t="s">
        <v>231</v>
      </c>
      <c r="B17" s="9"/>
      <c r="C17" s="9"/>
      <c r="D17" s="9"/>
      <c r="E17" s="9"/>
      <c r="F17" s="9"/>
    </row>
    <row r="18" spans="1:6">
      <c r="A18" s="9"/>
      <c r="B18" s="9"/>
      <c r="C18" s="9"/>
      <c r="D18" s="9"/>
      <c r="E18" s="9"/>
      <c r="F18" s="9"/>
    </row>
    <row r="19" spans="1:6">
      <c r="A19" s="14" t="s">
        <v>110</v>
      </c>
      <c r="B19" s="9"/>
      <c r="C19" s="9"/>
      <c r="D19" s="9"/>
      <c r="E19" s="9"/>
      <c r="F19" s="9"/>
    </row>
    <row r="20" spans="1:6">
      <c r="A20" s="39" t="s">
        <v>3</v>
      </c>
      <c r="B20" s="9"/>
      <c r="C20" s="9"/>
      <c r="D20" s="9"/>
      <c r="E20" s="9"/>
      <c r="F20" s="9"/>
    </row>
    <row r="21" spans="1:6">
      <c r="A21" s="9"/>
      <c r="B21" s="10"/>
      <c r="C21" s="9"/>
      <c r="D21" s="9"/>
      <c r="E21" s="9"/>
      <c r="F21" s="9"/>
    </row>
    <row r="22" spans="1:6">
      <c r="A22" s="9"/>
      <c r="B22" s="11">
        <f>SUM(B21:B21)</f>
        <v>0</v>
      </c>
      <c r="C22" s="10">
        <f>B22</f>
        <v>0</v>
      </c>
      <c r="D22" s="54">
        <f>5.5*10000</f>
        <v>55000</v>
      </c>
      <c r="E22" s="12">
        <f>ROUNDUP(B22/D22,2)</f>
        <v>0</v>
      </c>
      <c r="F22" s="12">
        <f>ROUND(E22*1.15,2)</f>
        <v>0</v>
      </c>
    </row>
    <row r="23" spans="1:6">
      <c r="A23" s="9"/>
      <c r="B23" s="9"/>
      <c r="C23" s="9"/>
      <c r="D23" s="9"/>
      <c r="E23" s="9"/>
      <c r="F23" s="9"/>
    </row>
    <row r="24" spans="1:6">
      <c r="A24" s="14" t="s">
        <v>142</v>
      </c>
      <c r="B24" s="9"/>
      <c r="C24" s="9"/>
      <c r="D24" s="9"/>
      <c r="E24" s="12">
        <f>SUM(E17:E23)</f>
        <v>0</v>
      </c>
      <c r="F24" s="12">
        <f>SUM(F17:F23)</f>
        <v>0</v>
      </c>
    </row>
  </sheetData>
  <customSheetViews>
    <customSheetView guid="{E62C39C8-EAA6-407C-933E-B5BB52ED1B14}" fitToPage="1">
      <selection activeCell="J24" sqref="J24"/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9" fitToHeight="0" orientation="portrait" r:id="rId2"/>
  <headerFooter>
    <oddFooter>&amp;L&amp;"-,Bold"Waimakariri District Council &amp;C&amp;D&amp;RPage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9" tint="0.39997558519241921"/>
    <pageSetUpPr fitToPage="1"/>
  </sheetPr>
  <dimension ref="A1:G14"/>
  <sheetViews>
    <sheetView workbookViewId="0">
      <selection activeCell="I8" sqref="I8"/>
    </sheetView>
  </sheetViews>
  <sheetFormatPr defaultColWidth="9.140625"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7">
      <c r="A1" s="1" t="s">
        <v>0</v>
      </c>
    </row>
    <row r="2" spans="1:7">
      <c r="A2" s="1" t="s">
        <v>422</v>
      </c>
    </row>
    <row r="3" spans="1:7">
      <c r="A3" s="1" t="str">
        <f>'Cust water'!$A$3</f>
        <v>2023-24 Budget for Annual Plan</v>
      </c>
    </row>
    <row r="4" spans="1:7">
      <c r="G4" s="84"/>
    </row>
    <row r="5" spans="1:7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7">
      <c r="A6" s="14" t="s">
        <v>110</v>
      </c>
      <c r="B6" s="9"/>
      <c r="C6" s="9"/>
      <c r="D6" s="9"/>
      <c r="E6" s="9"/>
      <c r="F6" s="9"/>
    </row>
    <row r="7" spans="1:7">
      <c r="A7" s="39" t="s">
        <v>3</v>
      </c>
      <c r="B7" s="9"/>
      <c r="C7" s="9"/>
      <c r="D7" s="9"/>
      <c r="E7" s="9"/>
      <c r="F7" s="9"/>
    </row>
    <row r="8" spans="1:7">
      <c r="A8" s="9" t="s">
        <v>423</v>
      </c>
      <c r="B8" s="10">
        <v>1410000</v>
      </c>
      <c r="C8" s="9"/>
      <c r="D8" s="9"/>
      <c r="E8" s="9"/>
      <c r="F8" s="9"/>
    </row>
    <row r="9" spans="1:7">
      <c r="A9" s="9" t="s">
        <v>56</v>
      </c>
      <c r="B9" s="10">
        <v>435690</v>
      </c>
      <c r="C9" s="9"/>
      <c r="D9" s="9"/>
      <c r="E9" s="9"/>
      <c r="F9" s="9"/>
    </row>
    <row r="10" spans="1:7">
      <c r="A10" s="9"/>
      <c r="B10" s="11">
        <f>SUM(B8:B9)</f>
        <v>1845690</v>
      </c>
      <c r="C10" s="10">
        <f>B10</f>
        <v>1845690</v>
      </c>
      <c r="D10" s="11">
        <v>980</v>
      </c>
      <c r="E10" s="12">
        <f>ROUND(B10/D10,0)</f>
        <v>1883</v>
      </c>
      <c r="F10" s="12">
        <f>ROUNDUP(E10*1.15,0)</f>
        <v>2166</v>
      </c>
    </row>
    <row r="11" spans="1:7">
      <c r="A11" s="39"/>
      <c r="B11" s="9"/>
      <c r="C11" s="9"/>
      <c r="D11" s="9"/>
      <c r="E11" s="9"/>
      <c r="F11" s="9"/>
    </row>
    <row r="12" spans="1:7">
      <c r="A12" s="9"/>
      <c r="B12" s="11"/>
      <c r="C12" s="9"/>
      <c r="D12" s="9"/>
      <c r="E12" s="9"/>
      <c r="F12" s="9"/>
    </row>
    <row r="13" spans="1:7">
      <c r="A13" s="14" t="s">
        <v>184</v>
      </c>
      <c r="B13" s="9"/>
      <c r="C13" s="9"/>
      <c r="D13" s="9"/>
      <c r="E13" s="12">
        <f>SUM(E6:E12)</f>
        <v>1883</v>
      </c>
      <c r="F13" s="12">
        <f>SUM(F6:F12)</f>
        <v>2166</v>
      </c>
    </row>
    <row r="14" spans="1:7">
      <c r="A14" s="9"/>
      <c r="B14" s="9"/>
      <c r="C14" s="9"/>
      <c r="D14" s="9"/>
      <c r="E14" s="9"/>
      <c r="F14" s="9"/>
    </row>
  </sheetData>
  <pageMargins left="0.51181102362204722" right="0.51181102362204722" top="0.74803149606299213" bottom="0.74803149606299213" header="0.31496062992125984" footer="0.31496062992125984"/>
  <pageSetup paperSize="9" scale="39" fitToHeight="0" orientation="portrait" r:id="rId1"/>
  <headerFooter>
    <oddFooter>&amp;L&amp;"-,Bold"Waimakariri District Council &amp;C&amp;D&amp;RPage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9" tint="0.39997558519241921"/>
    <pageSetUpPr fitToPage="1"/>
  </sheetPr>
  <dimension ref="A1:G11"/>
  <sheetViews>
    <sheetView workbookViewId="0">
      <selection activeCell="I8" sqref="I8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7">
      <c r="A1" s="1" t="s">
        <v>0</v>
      </c>
    </row>
    <row r="2" spans="1:7">
      <c r="A2" s="1" t="s">
        <v>212</v>
      </c>
    </row>
    <row r="3" spans="1:7">
      <c r="A3" s="1" t="str">
        <f>'Cust water'!$A$3</f>
        <v>2023-24 Budget for Annual Plan</v>
      </c>
    </row>
    <row r="4" spans="1:7">
      <c r="A4" s="1"/>
    </row>
    <row r="5" spans="1:7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7">
      <c r="A6" s="14" t="s">
        <v>110</v>
      </c>
      <c r="B6" s="9"/>
      <c r="C6" s="9"/>
      <c r="D6" s="9"/>
      <c r="E6" s="9"/>
      <c r="F6" s="9"/>
    </row>
    <row r="7" spans="1:7">
      <c r="A7" s="39" t="s">
        <v>2</v>
      </c>
      <c r="B7" s="9"/>
      <c r="C7" s="9"/>
      <c r="D7" s="9"/>
      <c r="E7" s="9"/>
      <c r="F7" s="9"/>
    </row>
    <row r="8" spans="1:7">
      <c r="A8" s="9" t="s">
        <v>141</v>
      </c>
      <c r="B8" s="54">
        <v>1252926</v>
      </c>
      <c r="C8" s="41"/>
      <c r="D8" s="41"/>
      <c r="E8" s="41"/>
      <c r="F8" s="41"/>
      <c r="G8" s="31"/>
    </row>
    <row r="9" spans="1:7">
      <c r="A9" s="9"/>
      <c r="B9" s="11">
        <f>SUM(B8:B8)</f>
        <v>1252926</v>
      </c>
      <c r="C9" s="54">
        <f>B9</f>
        <v>1252926</v>
      </c>
      <c r="D9" s="11">
        <v>504</v>
      </c>
      <c r="E9" s="88">
        <f>ROUNDUP(B9/D9,0)</f>
        <v>2486</v>
      </c>
      <c r="F9" s="88">
        <f>ROUND(E9*1.15,0)</f>
        <v>2859</v>
      </c>
    </row>
    <row r="10" spans="1:7">
      <c r="A10" s="9"/>
      <c r="B10" s="11"/>
      <c r="C10" s="9"/>
      <c r="D10" s="9"/>
      <c r="E10" s="9"/>
      <c r="F10" s="9"/>
    </row>
    <row r="11" spans="1:7">
      <c r="A11" s="14" t="s">
        <v>184</v>
      </c>
      <c r="B11" s="9"/>
      <c r="C11" s="9"/>
      <c r="D11" s="9"/>
      <c r="E11" s="12">
        <f>SUM(E6:E10)</f>
        <v>2486</v>
      </c>
      <c r="F11" s="12">
        <f>SUM(F6:F10)</f>
        <v>2859</v>
      </c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5" fitToHeight="0" orientation="portrait" r:id="rId2"/>
  <headerFooter>
    <oddFooter>&amp;L&amp;"-,Bold"Waimakariri District Council &amp;C&amp;D&amp;RPage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9" tint="0.39997558519241921"/>
    <pageSetUpPr fitToPage="1"/>
  </sheetPr>
  <dimension ref="A1:K20"/>
  <sheetViews>
    <sheetView workbookViewId="0"/>
  </sheetViews>
  <sheetFormatPr defaultRowHeight="15"/>
  <cols>
    <col min="1" max="1" width="42.85546875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11">
      <c r="A1" s="1" t="s">
        <v>0</v>
      </c>
    </row>
    <row r="2" spans="1:11">
      <c r="A2" s="1" t="s">
        <v>213</v>
      </c>
    </row>
    <row r="3" spans="1:11">
      <c r="A3" s="1" t="str">
        <f>'Cust water'!$A$3</f>
        <v>2023-24 Budget for Annual Plan</v>
      </c>
    </row>
    <row r="5" spans="1:11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11">
      <c r="A6" s="14" t="s">
        <v>110</v>
      </c>
      <c r="B6" s="9"/>
      <c r="C6" s="9"/>
      <c r="D6" s="9"/>
      <c r="E6" s="9"/>
      <c r="F6" s="9"/>
    </row>
    <row r="7" spans="1:11">
      <c r="A7" s="39" t="s">
        <v>2</v>
      </c>
      <c r="B7" s="9"/>
      <c r="C7" s="9"/>
      <c r="D7" s="9"/>
      <c r="E7" s="9"/>
      <c r="F7" s="9"/>
    </row>
    <row r="8" spans="1:11">
      <c r="A8" s="22" t="s">
        <v>297</v>
      </c>
      <c r="B8" s="93">
        <v>25000</v>
      </c>
      <c r="C8" s="54">
        <f>B8</f>
        <v>25000</v>
      </c>
      <c r="D8" s="41"/>
      <c r="E8" s="41"/>
      <c r="F8" s="41"/>
    </row>
    <row r="9" spans="1:11">
      <c r="A9" s="9"/>
      <c r="B9" s="11">
        <f>SUM(B8:B8)</f>
        <v>25000</v>
      </c>
      <c r="C9" s="11">
        <f>SUM(C8:C8)</f>
        <v>25000</v>
      </c>
      <c r="D9" s="11">
        <v>1852</v>
      </c>
      <c r="E9" s="88">
        <f>ROUND(C9/D9,0)</f>
        <v>13</v>
      </c>
      <c r="F9" s="88">
        <f>ROUND(E9*1.15,0)</f>
        <v>15</v>
      </c>
    </row>
    <row r="10" spans="1:11">
      <c r="A10" s="9"/>
      <c r="B10" s="11"/>
      <c r="C10" s="11"/>
      <c r="D10" s="11"/>
      <c r="E10" s="88"/>
      <c r="F10" s="88"/>
    </row>
    <row r="11" spans="1:11">
      <c r="A11" s="14" t="s">
        <v>6</v>
      </c>
      <c r="B11" s="11"/>
      <c r="C11" s="54"/>
      <c r="D11" s="11"/>
      <c r="E11" s="88"/>
      <c r="F11" s="88"/>
    </row>
    <row r="12" spans="1:11">
      <c r="A12" s="39" t="s">
        <v>3</v>
      </c>
      <c r="B12" s="11"/>
      <c r="C12" s="54"/>
      <c r="D12" s="11"/>
      <c r="E12" s="88"/>
      <c r="F12" s="88"/>
    </row>
    <row r="13" spans="1:11">
      <c r="A13" s="14"/>
      <c r="B13" s="11"/>
      <c r="C13" s="54"/>
      <c r="D13" s="11"/>
      <c r="E13" s="88"/>
      <c r="F13" s="88"/>
    </row>
    <row r="14" spans="1:11">
      <c r="A14" s="39" t="s">
        <v>7</v>
      </c>
      <c r="B14" s="41"/>
      <c r="C14" s="41"/>
      <c r="D14" s="41"/>
      <c r="E14" s="41"/>
      <c r="F14" s="41"/>
    </row>
    <row r="15" spans="1:11">
      <c r="A15" s="41" t="s">
        <v>358</v>
      </c>
      <c r="B15" s="91">
        <v>240724</v>
      </c>
      <c r="C15" s="91">
        <f>B15</f>
        <v>240724</v>
      </c>
      <c r="D15" s="41"/>
      <c r="E15" s="41"/>
      <c r="F15" s="41"/>
    </row>
    <row r="16" spans="1:11">
      <c r="A16" s="9"/>
      <c r="B16" s="54">
        <f>SUM(B15:B15)</f>
        <v>240724</v>
      </c>
      <c r="C16" s="54">
        <f>SUM(C15:C15)</f>
        <v>240724</v>
      </c>
      <c r="D16" s="11">
        <v>9852</v>
      </c>
      <c r="E16" s="88">
        <f>ROUND(C16/D16,0)</f>
        <v>24</v>
      </c>
      <c r="F16" s="88">
        <f>ROUNDDOWN(E16*1.15,0)</f>
        <v>27</v>
      </c>
      <c r="K16" s="31"/>
    </row>
    <row r="17" spans="1:6">
      <c r="A17" s="9"/>
      <c r="B17" s="11"/>
      <c r="C17" s="9"/>
      <c r="D17" s="9"/>
      <c r="E17" s="9"/>
      <c r="F17" s="9"/>
    </row>
    <row r="18" spans="1:6">
      <c r="A18" s="14" t="s">
        <v>184</v>
      </c>
      <c r="B18" s="9"/>
      <c r="C18" s="9"/>
      <c r="D18" s="9"/>
      <c r="E18" s="12">
        <f>SUM(E6:E17)</f>
        <v>37</v>
      </c>
      <c r="F18" s="12">
        <f>SUM(F6:F17)</f>
        <v>42</v>
      </c>
    </row>
    <row r="20" spans="1:6">
      <c r="B20" s="4"/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40" fitToHeight="0" orientation="portrait" r:id="rId2"/>
  <headerFooter>
    <oddFooter>&amp;L&amp;"-,Bold"Waimakariri District Council &amp;C&amp;D&amp;RPage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9" tint="0.39997558519241921"/>
    <pageSetUpPr fitToPage="1"/>
  </sheetPr>
  <dimension ref="A1:G18"/>
  <sheetViews>
    <sheetView workbookViewId="0">
      <selection activeCell="B17" sqref="B17"/>
    </sheetView>
  </sheetViews>
  <sheetFormatPr defaultRowHeight="15"/>
  <cols>
    <col min="1" max="1" width="58.7109375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7">
      <c r="A1" s="1" t="s">
        <v>0</v>
      </c>
    </row>
    <row r="2" spans="1:7">
      <c r="A2" s="1" t="s">
        <v>214</v>
      </c>
    </row>
    <row r="3" spans="1:7">
      <c r="A3" s="1" t="str">
        <f>'Cust water'!$A$3</f>
        <v>2023-24 Budget for Annual Plan</v>
      </c>
    </row>
    <row r="5" spans="1:7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7">
      <c r="A6" s="14" t="s">
        <v>6</v>
      </c>
      <c r="B6" s="9"/>
      <c r="C6" s="9"/>
      <c r="D6" s="9"/>
      <c r="E6" s="9"/>
      <c r="F6" s="9"/>
    </row>
    <row r="7" spans="1:7">
      <c r="A7" s="39" t="s">
        <v>3</v>
      </c>
      <c r="B7" s="23"/>
      <c r="C7" s="9"/>
      <c r="D7" s="9"/>
      <c r="E7" s="9"/>
      <c r="F7" s="9"/>
      <c r="G7" s="31"/>
    </row>
    <row r="8" spans="1:7">
      <c r="A8" s="22"/>
      <c r="B8" s="93"/>
      <c r="C8" s="41"/>
      <c r="D8" s="41"/>
      <c r="E8" s="41"/>
      <c r="F8" s="41"/>
    </row>
    <row r="9" spans="1:7">
      <c r="A9" s="22"/>
      <c r="B9" s="24">
        <f>SUM(B8:B8)</f>
        <v>0</v>
      </c>
      <c r="C9" s="54">
        <f>B9</f>
        <v>0</v>
      </c>
      <c r="D9" s="11">
        <v>475</v>
      </c>
      <c r="E9" s="88">
        <f>ROUND(B9/D9,0)</f>
        <v>0</v>
      </c>
      <c r="F9" s="88">
        <f>ROUND(E9*1.15,0)</f>
        <v>0</v>
      </c>
    </row>
    <row r="10" spans="1:7">
      <c r="A10" s="56" t="s">
        <v>7</v>
      </c>
      <c r="B10" s="60"/>
      <c r="C10" s="41"/>
      <c r="D10" s="41"/>
      <c r="E10" s="41"/>
      <c r="F10" s="41"/>
    </row>
    <row r="11" spans="1:7">
      <c r="A11" s="22" t="s">
        <v>369</v>
      </c>
      <c r="B11" s="24">
        <v>935597</v>
      </c>
      <c r="C11" s="41"/>
      <c r="D11" s="41"/>
      <c r="E11" s="41"/>
      <c r="F11" s="41"/>
      <c r="G11" s="38"/>
    </row>
    <row r="12" spans="1:7">
      <c r="A12" s="22" t="s">
        <v>129</v>
      </c>
      <c r="B12" s="24">
        <v>4266640</v>
      </c>
      <c r="C12" s="41"/>
      <c r="D12" s="41"/>
      <c r="E12" s="41"/>
      <c r="F12" s="41"/>
    </row>
    <row r="13" spans="1:7">
      <c r="A13" s="22" t="s">
        <v>106</v>
      </c>
      <c r="B13" s="93">
        <v>-1508649</v>
      </c>
      <c r="C13" s="41"/>
      <c r="D13" s="41"/>
      <c r="E13" s="41"/>
      <c r="F13" s="41"/>
      <c r="G13" s="48"/>
    </row>
    <row r="14" spans="1:7">
      <c r="A14" s="9"/>
      <c r="B14" s="54">
        <f>SUM(B11:B13)</f>
        <v>3693588</v>
      </c>
      <c r="C14" s="54">
        <f>B14</f>
        <v>3693588</v>
      </c>
      <c r="D14" s="11">
        <v>475</v>
      </c>
      <c r="E14" s="88">
        <f>ROUND(B14/D14,0)</f>
        <v>7776</v>
      </c>
      <c r="F14" s="88">
        <f>ROUNDUP(E14*1.15,0)</f>
        <v>8943</v>
      </c>
    </row>
    <row r="15" spans="1:7">
      <c r="A15" s="9"/>
      <c r="B15" s="54"/>
      <c r="C15" s="54"/>
      <c r="D15" s="11"/>
      <c r="E15" s="88"/>
      <c r="F15" s="88"/>
    </row>
    <row r="16" spans="1:7">
      <c r="A16" s="9" t="s">
        <v>130</v>
      </c>
      <c r="B16" s="54">
        <v>11749</v>
      </c>
      <c r="C16" s="54">
        <f>B16</f>
        <v>11749</v>
      </c>
      <c r="D16" s="11">
        <v>475</v>
      </c>
      <c r="E16" s="88">
        <f>ROUND(B16/D16,0)</f>
        <v>25</v>
      </c>
      <c r="F16" s="88">
        <f>ROUND(E16*1.15,0)</f>
        <v>29</v>
      </c>
      <c r="G16" s="79"/>
    </row>
    <row r="17" spans="1:6">
      <c r="A17" s="9"/>
      <c r="B17" s="11"/>
      <c r="C17" s="9"/>
      <c r="D17" s="9"/>
      <c r="E17" s="9"/>
      <c r="F17" s="9"/>
    </row>
    <row r="18" spans="1:6">
      <c r="A18" s="14" t="s">
        <v>184</v>
      </c>
      <c r="B18" s="9"/>
      <c r="C18" s="9"/>
      <c r="D18" s="9"/>
      <c r="E18" s="12">
        <f>SUM(E6:E17)</f>
        <v>7801</v>
      </c>
      <c r="F18" s="12">
        <f>SUM(F6:F17)</f>
        <v>8972</v>
      </c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6" fitToHeight="0" orientation="portrait" r:id="rId2"/>
  <headerFooter>
    <oddFooter>&amp;L&amp;"-,Bold"Waimakariri District Council &amp;C&amp;D&amp;RPage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 tint="0.39997558519241921"/>
    <pageSetUpPr fitToPage="1"/>
  </sheetPr>
  <dimension ref="A1:F16"/>
  <sheetViews>
    <sheetView workbookViewId="0">
      <selection activeCell="J23" sqref="J23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  <col min="7" max="7" width="10.42578125" customWidth="1"/>
  </cols>
  <sheetData>
    <row r="1" spans="1:6">
      <c r="A1" s="1" t="s">
        <v>0</v>
      </c>
    </row>
    <row r="2" spans="1:6">
      <c r="A2" s="1" t="s">
        <v>312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110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 t="s">
        <v>425</v>
      </c>
      <c r="B8" s="54">
        <v>290000</v>
      </c>
      <c r="C8" s="41"/>
      <c r="D8" s="41"/>
      <c r="E8" s="9"/>
      <c r="F8" s="9"/>
    </row>
    <row r="9" spans="1:6">
      <c r="A9" s="9"/>
      <c r="B9" s="11">
        <f>SUM(B8:B8)</f>
        <v>290000</v>
      </c>
      <c r="C9" s="54">
        <f>B9</f>
        <v>290000</v>
      </c>
      <c r="D9" s="11">
        <v>312</v>
      </c>
      <c r="E9" s="12">
        <f>ROUND(B9/D9,0)</f>
        <v>929</v>
      </c>
      <c r="F9" s="12">
        <f>ROUND(E9*1.15,0)</f>
        <v>1068</v>
      </c>
    </row>
    <row r="10" spans="1:6">
      <c r="A10" s="39" t="s">
        <v>7</v>
      </c>
      <c r="B10" s="41"/>
      <c r="C10" s="41"/>
      <c r="D10" s="41"/>
      <c r="E10" s="9"/>
      <c r="F10" s="9"/>
    </row>
    <row r="11" spans="1:6">
      <c r="A11" s="9" t="s">
        <v>131</v>
      </c>
      <c r="B11" s="11">
        <v>1729349</v>
      </c>
      <c r="C11" s="41"/>
      <c r="D11" s="41"/>
      <c r="E11" s="9"/>
      <c r="F11" s="9"/>
    </row>
    <row r="12" spans="1:6">
      <c r="A12" s="9" t="s">
        <v>490</v>
      </c>
      <c r="B12" s="54">
        <v>154026</v>
      </c>
      <c r="C12" s="41"/>
      <c r="D12" s="41"/>
      <c r="E12" s="9"/>
      <c r="F12" s="9"/>
    </row>
    <row r="13" spans="1:6">
      <c r="A13" t="s">
        <v>572</v>
      </c>
      <c r="B13" s="54">
        <v>39931</v>
      </c>
      <c r="C13" s="41"/>
      <c r="D13" s="41"/>
      <c r="E13" s="9"/>
      <c r="F13" s="9"/>
    </row>
    <row r="14" spans="1:6">
      <c r="A14" s="9"/>
      <c r="B14" s="54">
        <f>SUM(B11:B13)</f>
        <v>1923306</v>
      </c>
      <c r="C14" s="54">
        <f>B14</f>
        <v>1923306</v>
      </c>
      <c r="D14" s="11">
        <v>312</v>
      </c>
      <c r="E14" s="12">
        <f>ROUND(B14/D14,0)</f>
        <v>6164</v>
      </c>
      <c r="F14" s="12">
        <f>ROUND(E14*1.15,0)</f>
        <v>7089</v>
      </c>
    </row>
    <row r="15" spans="1:6">
      <c r="A15" s="9"/>
      <c r="B15" s="11"/>
      <c r="C15" s="9"/>
      <c r="D15" s="9"/>
      <c r="E15" s="9"/>
      <c r="F15" s="9"/>
    </row>
    <row r="16" spans="1:6">
      <c r="A16" s="14" t="s">
        <v>184</v>
      </c>
      <c r="B16" s="9"/>
      <c r="C16" s="9"/>
      <c r="D16" s="9"/>
      <c r="E16" s="12">
        <f>SUM(E6:E15)</f>
        <v>7093</v>
      </c>
      <c r="F16" s="12">
        <f>SUM(F6:F15)</f>
        <v>8157</v>
      </c>
    </row>
  </sheetData>
  <customSheetViews>
    <customSheetView guid="{E62C39C8-EAA6-407C-933E-B5BB52ED1B14}" fitToPage="1">
      <selection activeCell="A21" sqref="A21"/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3" fitToHeight="0" orientation="portrait" r:id="rId2"/>
  <headerFooter>
    <oddFooter>&amp;L&amp;"-,Bold"Waimakariri District Council &amp;C&amp;D&amp;RPage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9" tint="0.39997558519241921"/>
    <pageSetUpPr fitToPage="1"/>
  </sheetPr>
  <dimension ref="A1:F23"/>
  <sheetViews>
    <sheetView workbookViewId="0">
      <selection activeCell="B21" sqref="B21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  <col min="7" max="7" width="18" customWidth="1"/>
  </cols>
  <sheetData>
    <row r="1" spans="1:6">
      <c r="A1" s="1" t="s">
        <v>0</v>
      </c>
    </row>
    <row r="2" spans="1:6">
      <c r="A2" s="1" t="s">
        <v>215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127</v>
      </c>
      <c r="B6" s="9"/>
      <c r="C6" s="16"/>
      <c r="D6" s="16"/>
      <c r="E6" s="16"/>
      <c r="F6" s="16"/>
    </row>
    <row r="7" spans="1:6">
      <c r="A7" s="14" t="s">
        <v>110</v>
      </c>
      <c r="B7" s="9"/>
      <c r="C7" s="9"/>
      <c r="D7" s="9"/>
      <c r="E7" s="9"/>
      <c r="F7" s="9"/>
    </row>
    <row r="8" spans="1:6">
      <c r="A8" s="39" t="s">
        <v>2</v>
      </c>
      <c r="B8" s="9"/>
      <c r="C8" s="9"/>
      <c r="D8" s="9"/>
      <c r="E8" s="9"/>
      <c r="F8" s="9"/>
    </row>
    <row r="9" spans="1:6" ht="30">
      <c r="A9" s="16" t="s">
        <v>253</v>
      </c>
      <c r="B9" s="93">
        <v>234041</v>
      </c>
      <c r="C9" s="41"/>
      <c r="D9" s="41"/>
      <c r="E9" s="41"/>
      <c r="F9" s="41"/>
    </row>
    <row r="10" spans="1:6">
      <c r="A10" s="9"/>
      <c r="B10" s="54"/>
      <c r="C10" s="41"/>
      <c r="D10" s="41"/>
      <c r="E10" s="41"/>
      <c r="F10" s="41"/>
    </row>
    <row r="11" spans="1:6">
      <c r="A11" s="9"/>
      <c r="B11" s="11">
        <f>SUM(B9:B10)</f>
        <v>234041</v>
      </c>
      <c r="C11" s="54">
        <f>B11</f>
        <v>234041</v>
      </c>
      <c r="D11" s="11">
        <v>37</v>
      </c>
      <c r="E11" s="88">
        <f>ROUND(B11/D11,0)</f>
        <v>6325</v>
      </c>
      <c r="F11" s="88">
        <f>ROUND(E11*1.15,0)</f>
        <v>7274</v>
      </c>
    </row>
    <row r="12" spans="1:6">
      <c r="A12" s="9"/>
      <c r="B12" s="11"/>
      <c r="C12" s="41"/>
      <c r="D12" s="41"/>
      <c r="E12" s="41"/>
      <c r="F12" s="41"/>
    </row>
    <row r="13" spans="1:6">
      <c r="A13" s="14" t="s">
        <v>184</v>
      </c>
      <c r="B13" s="41"/>
      <c r="C13" s="41"/>
      <c r="D13" s="41"/>
      <c r="E13" s="88">
        <f>SUM(E7:E12)</f>
        <v>6325</v>
      </c>
      <c r="F13" s="88">
        <f>SUM(F7:F12)</f>
        <v>7274</v>
      </c>
    </row>
    <row r="14" spans="1:6">
      <c r="A14" s="9"/>
      <c r="B14" s="41"/>
      <c r="C14" s="41"/>
      <c r="D14" s="41"/>
      <c r="E14" s="41"/>
      <c r="F14" s="41"/>
    </row>
    <row r="15" spans="1:6">
      <c r="A15" s="14" t="s">
        <v>128</v>
      </c>
      <c r="B15" s="41"/>
      <c r="C15" s="72"/>
      <c r="D15" s="72"/>
      <c r="E15" s="72"/>
      <c r="F15" s="72"/>
    </row>
    <row r="16" spans="1:6">
      <c r="A16" s="14" t="s">
        <v>110</v>
      </c>
      <c r="B16" s="41"/>
      <c r="C16" s="41"/>
      <c r="D16" s="41"/>
      <c r="E16" s="41"/>
      <c r="F16" s="41"/>
    </row>
    <row r="17" spans="1:6">
      <c r="A17" s="39" t="s">
        <v>3</v>
      </c>
      <c r="B17" s="41"/>
      <c r="C17" s="41"/>
      <c r="D17" s="41"/>
      <c r="E17" s="41"/>
      <c r="F17" s="41"/>
    </row>
    <row r="18" spans="1:6">
      <c r="A18" s="16"/>
      <c r="B18" s="11">
        <f>SUM(B17:B17)</f>
        <v>0</v>
      </c>
      <c r="C18" s="54">
        <f>B18</f>
        <v>0</v>
      </c>
      <c r="D18" s="11">
        <v>30</v>
      </c>
      <c r="E18" s="88">
        <f>ROUND(B18/D18,0)</f>
        <v>0</v>
      </c>
      <c r="F18" s="88">
        <f>ROUND(E18*1.15,0)</f>
        <v>0</v>
      </c>
    </row>
    <row r="19" spans="1:6">
      <c r="A19" s="57" t="s">
        <v>2</v>
      </c>
      <c r="B19" s="93"/>
      <c r="C19" s="41"/>
      <c r="D19" s="41"/>
      <c r="E19" s="41"/>
      <c r="F19" s="41"/>
    </row>
    <row r="20" spans="1:6" ht="30">
      <c r="A20" s="16" t="s">
        <v>254</v>
      </c>
      <c r="B20" s="54">
        <v>83137</v>
      </c>
      <c r="C20" s="41"/>
      <c r="D20" s="41"/>
      <c r="E20" s="41"/>
      <c r="F20" s="41"/>
    </row>
    <row r="21" spans="1:6">
      <c r="A21" s="9"/>
      <c r="B21" s="11">
        <f>B20</f>
        <v>83137</v>
      </c>
      <c r="C21" s="54">
        <f>B21</f>
        <v>83137</v>
      </c>
      <c r="D21" s="11">
        <v>30</v>
      </c>
      <c r="E21" s="88">
        <f>ROUND(B21/D21,0)</f>
        <v>2771</v>
      </c>
      <c r="F21" s="88">
        <f>ROUND(E21*1.15,0)</f>
        <v>3187</v>
      </c>
    </row>
    <row r="22" spans="1:6">
      <c r="A22" s="9"/>
      <c r="B22" s="11"/>
      <c r="C22" s="9"/>
      <c r="D22" s="9"/>
      <c r="E22" s="9"/>
      <c r="F22" s="9"/>
    </row>
    <row r="23" spans="1:6">
      <c r="A23" s="14" t="s">
        <v>184</v>
      </c>
      <c r="B23" s="9"/>
      <c r="C23" s="9"/>
      <c r="D23" s="9"/>
      <c r="E23" s="12">
        <f>SUM(E16:E22)</f>
        <v>2771</v>
      </c>
      <c r="F23" s="12">
        <f>SUM(F16:F22)</f>
        <v>3187</v>
      </c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2" fitToHeight="0" orientation="portrait" r:id="rId2"/>
  <headerFooter>
    <oddFooter>&amp;L&amp;"-,Bold"Waimakariri District Council &amp;C&amp;D&amp;RPage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9" tint="0.39997558519241921"/>
  </sheetPr>
  <dimension ref="A1:G17"/>
  <sheetViews>
    <sheetView workbookViewId="0">
      <selection activeCell="B11" sqref="B11"/>
    </sheetView>
  </sheetViews>
  <sheetFormatPr defaultColWidth="9.140625" defaultRowHeight="15"/>
  <cols>
    <col min="1" max="1" width="36.7109375" customWidth="1"/>
    <col min="2" max="2" width="20" customWidth="1"/>
    <col min="3" max="3" width="22.140625" customWidth="1"/>
    <col min="4" max="4" width="15.28515625" customWidth="1"/>
    <col min="5" max="5" width="16.42578125" customWidth="1"/>
    <col min="6" max="6" width="14.5703125" customWidth="1"/>
  </cols>
  <sheetData>
    <row r="1" spans="1:7">
      <c r="A1" s="1" t="s">
        <v>0</v>
      </c>
    </row>
    <row r="2" spans="1:7">
      <c r="A2" s="1" t="s">
        <v>251</v>
      </c>
    </row>
    <row r="3" spans="1:7">
      <c r="A3" s="1" t="str">
        <f>'Cust water'!$A$3</f>
        <v>2023-24 Budget for Annual Plan</v>
      </c>
    </row>
    <row r="5" spans="1:7" ht="60">
      <c r="A5" s="14"/>
      <c r="B5" s="8" t="s">
        <v>34</v>
      </c>
      <c r="C5" s="8" t="s">
        <v>185</v>
      </c>
      <c r="D5" s="8" t="s">
        <v>216</v>
      </c>
      <c r="E5" s="8" t="s">
        <v>187</v>
      </c>
      <c r="F5" s="8" t="s">
        <v>183</v>
      </c>
    </row>
    <row r="6" spans="1:7">
      <c r="A6" s="14"/>
      <c r="B6" s="9"/>
      <c r="C6" s="16"/>
      <c r="D6" s="16"/>
      <c r="E6" s="16"/>
      <c r="F6" s="16"/>
    </row>
    <row r="7" spans="1:7">
      <c r="A7" s="14"/>
      <c r="B7" s="9"/>
      <c r="C7" s="16"/>
      <c r="D7" s="16"/>
      <c r="E7" s="16"/>
      <c r="F7" s="16"/>
    </row>
    <row r="8" spans="1:7">
      <c r="A8" s="14" t="s">
        <v>110</v>
      </c>
      <c r="B8" s="9"/>
      <c r="C8" s="9"/>
      <c r="D8" s="9"/>
      <c r="E8" s="9"/>
      <c r="F8" s="9"/>
    </row>
    <row r="9" spans="1:7">
      <c r="A9" s="39" t="s">
        <v>3</v>
      </c>
      <c r="B9" s="9"/>
      <c r="C9" s="9"/>
      <c r="D9" s="9"/>
      <c r="E9" s="9"/>
      <c r="F9" s="9"/>
      <c r="G9" s="31"/>
    </row>
    <row r="10" spans="1:7">
      <c r="A10" s="9" t="s">
        <v>426</v>
      </c>
      <c r="B10" s="54">
        <v>556350</v>
      </c>
      <c r="C10" s="41"/>
      <c r="D10" s="41"/>
      <c r="E10" s="41"/>
      <c r="F10" s="41"/>
    </row>
    <row r="11" spans="1:7">
      <c r="A11" s="9" t="s">
        <v>308</v>
      </c>
      <c r="B11" s="54">
        <v>215000</v>
      </c>
      <c r="C11" s="41"/>
      <c r="D11" s="41"/>
      <c r="E11" s="41"/>
      <c r="F11" s="41"/>
    </row>
    <row r="12" spans="1:7">
      <c r="A12" s="9"/>
      <c r="B12" s="54">
        <f>SUM(B10:B11)</f>
        <v>771350</v>
      </c>
      <c r="C12" s="54">
        <f>B12</f>
        <v>771350</v>
      </c>
      <c r="D12" s="11">
        <v>42</v>
      </c>
      <c r="E12" s="88">
        <f>ROUND(B12/D12,0)</f>
        <v>18365</v>
      </c>
      <c r="F12" s="88">
        <f>ROUND(E12*1.15,0)</f>
        <v>21120</v>
      </c>
    </row>
    <row r="13" spans="1:7">
      <c r="A13" s="39" t="s">
        <v>2</v>
      </c>
      <c r="B13" s="54"/>
      <c r="C13" s="54"/>
      <c r="D13" s="11"/>
      <c r="E13" s="88"/>
      <c r="F13" s="88"/>
    </row>
    <row r="14" spans="1:7">
      <c r="A14" s="9" t="s">
        <v>480</v>
      </c>
      <c r="B14" s="54">
        <v>394038</v>
      </c>
      <c r="C14" s="54">
        <f>B14</f>
        <v>394038</v>
      </c>
      <c r="D14" s="11">
        <v>42</v>
      </c>
      <c r="E14" s="88">
        <f>B14/D14</f>
        <v>9381.8571428571431</v>
      </c>
      <c r="F14" s="88">
        <f>E14*1.15</f>
        <v>10789.135714285714</v>
      </c>
    </row>
    <row r="15" spans="1:7">
      <c r="A15" s="9"/>
      <c r="B15" s="54"/>
      <c r="C15" s="54"/>
      <c r="D15" s="11"/>
      <c r="E15" s="88"/>
      <c r="F15" s="88"/>
    </row>
    <row r="16" spans="1:7">
      <c r="A16" s="9"/>
      <c r="B16" s="11"/>
      <c r="C16" s="9"/>
      <c r="D16" s="9"/>
      <c r="E16" s="9"/>
      <c r="F16" s="9"/>
    </row>
    <row r="17" spans="1:6">
      <c r="A17" s="14" t="s">
        <v>184</v>
      </c>
      <c r="B17" s="9"/>
      <c r="C17" s="9"/>
      <c r="D17" s="9"/>
      <c r="E17" s="13">
        <f>ROUND(SUM(E8:E16),0)</f>
        <v>27747</v>
      </c>
      <c r="F17" s="13">
        <f>ROUND(SUM(F8:F16),0)</f>
        <v>31909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 tint="0.39997558519241921"/>
    <pageSetUpPr fitToPage="1"/>
  </sheetPr>
  <dimension ref="A1:G30"/>
  <sheetViews>
    <sheetView workbookViewId="0">
      <selection activeCell="G24" sqref="G24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7">
      <c r="A1" s="1" t="s">
        <v>0</v>
      </c>
    </row>
    <row r="2" spans="1:7">
      <c r="A2" s="1" t="s">
        <v>217</v>
      </c>
    </row>
    <row r="3" spans="1:7">
      <c r="A3" s="1" t="str">
        <f>'Cust water'!$A$3</f>
        <v>2023-24 Budget for Annual Plan</v>
      </c>
    </row>
    <row r="5" spans="1:7" ht="90">
      <c r="A5" s="14"/>
      <c r="B5" s="8" t="s">
        <v>34</v>
      </c>
      <c r="C5" s="8" t="s">
        <v>185</v>
      </c>
      <c r="D5" s="8" t="s">
        <v>216</v>
      </c>
      <c r="E5" s="8" t="s">
        <v>187</v>
      </c>
      <c r="F5" s="8" t="s">
        <v>183</v>
      </c>
    </row>
    <row r="6" spans="1:7">
      <c r="A6" s="14" t="s">
        <v>4</v>
      </c>
      <c r="B6" s="9"/>
      <c r="C6" s="16"/>
      <c r="D6" s="16"/>
      <c r="E6" s="16"/>
      <c r="F6" s="16"/>
    </row>
    <row r="7" spans="1:7">
      <c r="A7" s="39" t="s">
        <v>298</v>
      </c>
      <c r="B7" s="9"/>
      <c r="C7" s="16"/>
      <c r="D7" s="16"/>
      <c r="E7" s="16"/>
      <c r="F7" s="16"/>
    </row>
    <row r="8" spans="1:7">
      <c r="A8" s="41" t="s">
        <v>370</v>
      </c>
      <c r="B8" s="54">
        <v>178650</v>
      </c>
      <c r="C8" s="99">
        <f>B8</f>
        <v>178650</v>
      </c>
      <c r="D8" s="99">
        <v>159200</v>
      </c>
      <c r="E8" s="100">
        <f>ROUND(B8/D8,2)</f>
        <v>1.1200000000000001</v>
      </c>
      <c r="F8" s="100">
        <f>ROUND(E8*1.15,2)</f>
        <v>1.29</v>
      </c>
    </row>
    <row r="9" spans="1:7">
      <c r="A9" s="40"/>
      <c r="B9" s="40"/>
      <c r="C9" s="58"/>
      <c r="D9" s="58"/>
      <c r="E9" s="58"/>
      <c r="F9" s="58"/>
      <c r="G9" s="59"/>
    </row>
    <row r="10" spans="1:7">
      <c r="A10" s="14" t="s">
        <v>6</v>
      </c>
      <c r="B10" s="41"/>
      <c r="C10" s="41"/>
      <c r="D10" s="41"/>
      <c r="E10" s="41"/>
      <c r="F10" s="41"/>
    </row>
    <row r="11" spans="1:7">
      <c r="A11" s="39" t="s">
        <v>7</v>
      </c>
      <c r="B11" s="41"/>
      <c r="C11" s="41"/>
      <c r="D11" s="41"/>
      <c r="E11" s="41"/>
      <c r="F11" s="41"/>
    </row>
    <row r="12" spans="1:7">
      <c r="A12" s="41" t="s">
        <v>370</v>
      </c>
      <c r="B12" s="11">
        <v>171350</v>
      </c>
      <c r="C12" s="99">
        <f>B12</f>
        <v>171350</v>
      </c>
      <c r="D12" s="99">
        <v>159200</v>
      </c>
      <c r="E12" s="100">
        <f>ROUND(B12/D12,2)</f>
        <v>1.08</v>
      </c>
      <c r="F12" s="100">
        <f>ROUND(E12*1.15,2)</f>
        <v>1.24</v>
      </c>
    </row>
    <row r="13" spans="1:7">
      <c r="A13" s="41"/>
      <c r="B13" s="11"/>
      <c r="C13" s="41"/>
      <c r="D13" s="41"/>
      <c r="E13" s="41"/>
      <c r="F13" s="41"/>
    </row>
    <row r="14" spans="1:7">
      <c r="A14" s="9" t="s">
        <v>132</v>
      </c>
      <c r="B14" s="11">
        <v>4575293</v>
      </c>
      <c r="C14" s="41"/>
      <c r="D14" s="41"/>
      <c r="E14" s="41"/>
      <c r="F14" s="41"/>
    </row>
    <row r="15" spans="1:7">
      <c r="A15" s="41" t="s">
        <v>106</v>
      </c>
      <c r="B15" s="54">
        <v>-1517751</v>
      </c>
      <c r="C15" s="41"/>
      <c r="D15" s="41"/>
      <c r="E15" s="41"/>
      <c r="F15" s="41"/>
    </row>
    <row r="16" spans="1:7">
      <c r="A16" s="9"/>
      <c r="B16" s="54">
        <f>SUM(B14:B15)</f>
        <v>3057542</v>
      </c>
      <c r="C16" s="54">
        <f>2300049</f>
        <v>2300049</v>
      </c>
      <c r="D16" s="11">
        <v>542158</v>
      </c>
      <c r="E16" s="88">
        <f>ROUND(B16/D16,2)</f>
        <v>5.64</v>
      </c>
      <c r="F16" s="88">
        <f>ROUND(E16*1.15,2)</f>
        <v>6.49</v>
      </c>
    </row>
    <row r="17" spans="1:6">
      <c r="A17" s="9"/>
      <c r="B17" s="11"/>
      <c r="C17" s="9"/>
      <c r="D17" s="9"/>
      <c r="E17" s="9"/>
      <c r="F17" s="9"/>
    </row>
    <row r="18" spans="1:6">
      <c r="A18" s="14" t="s">
        <v>142</v>
      </c>
      <c r="B18" s="9"/>
      <c r="C18" s="9"/>
      <c r="D18" s="9"/>
      <c r="E18" s="12">
        <f>SUM(E8:E17)</f>
        <v>7.84</v>
      </c>
      <c r="F18" s="12">
        <f>SUM(F8:F17)</f>
        <v>9.02</v>
      </c>
    </row>
    <row r="21" spans="1:6">
      <c r="E21" s="4"/>
    </row>
    <row r="28" spans="1:6">
      <c r="B28" s="34"/>
    </row>
    <row r="30" spans="1:6">
      <c r="B30" s="35"/>
    </row>
  </sheetData>
  <customSheetViews>
    <customSheetView guid="{E62C39C8-EAA6-407C-933E-B5BB52ED1B14}" fitToPage="1">
      <selection activeCell="B12" sqref="B12"/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5" fitToHeight="0" orientation="portrait" r:id="rId2"/>
  <headerFooter>
    <oddFooter>&amp;L&amp;"-,Bold"Waimakariri District Council &amp;C&amp;D&amp;RPage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 tint="0.39997558519241921"/>
    <pageSetUpPr fitToPage="1"/>
  </sheetPr>
  <dimension ref="A1:F13"/>
  <sheetViews>
    <sheetView workbookViewId="0">
      <selection activeCell="B9" sqref="B9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6">
      <c r="A1" s="1" t="s">
        <v>0</v>
      </c>
    </row>
    <row r="2" spans="1:6">
      <c r="A2" s="1" t="s">
        <v>238</v>
      </c>
    </row>
    <row r="3" spans="1:6">
      <c r="A3" s="1" t="str">
        <f>'Cust water'!$A$3</f>
        <v>2023-24 Budget for Annual Plan</v>
      </c>
    </row>
    <row r="5" spans="1:6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6">
      <c r="A6" s="14" t="s">
        <v>110</v>
      </c>
      <c r="B6" s="9"/>
      <c r="C6" s="9"/>
      <c r="D6" s="9"/>
      <c r="E6" s="9"/>
      <c r="F6" s="9"/>
    </row>
    <row r="7" spans="1:6">
      <c r="A7" s="39" t="s">
        <v>3</v>
      </c>
      <c r="B7" s="9"/>
      <c r="C7" s="9"/>
      <c r="D7" s="9"/>
      <c r="E7" s="9"/>
      <c r="F7" s="9"/>
    </row>
    <row r="8" spans="1:6">
      <c r="A8" s="22"/>
      <c r="B8" s="17"/>
      <c r="C8" s="9"/>
      <c r="D8" s="9"/>
      <c r="E8" s="9"/>
      <c r="F8" s="9"/>
    </row>
    <row r="9" spans="1:6" ht="30">
      <c r="A9" s="22" t="s">
        <v>240</v>
      </c>
      <c r="B9" s="17">
        <v>935000</v>
      </c>
      <c r="C9" s="9"/>
      <c r="D9" s="9"/>
      <c r="E9" s="9"/>
      <c r="F9" s="9"/>
    </row>
    <row r="10" spans="1:6">
      <c r="A10" s="22"/>
      <c r="B10" s="17"/>
      <c r="C10" s="9"/>
      <c r="D10" s="9"/>
      <c r="E10" s="9"/>
      <c r="F10" s="9"/>
    </row>
    <row r="11" spans="1:6">
      <c r="A11" s="9"/>
      <c r="B11" s="11">
        <f>SUM(B8:B10)</f>
        <v>935000</v>
      </c>
      <c r="C11" s="10">
        <f>B11</f>
        <v>935000</v>
      </c>
      <c r="D11" s="30">
        <v>18.7</v>
      </c>
      <c r="E11" s="12">
        <f>ROUND(B11/D11,0)</f>
        <v>50000</v>
      </c>
      <c r="F11" s="12">
        <f>ROUND(E11*1.15,0)</f>
        <v>57500</v>
      </c>
    </row>
    <row r="12" spans="1:6">
      <c r="A12" s="9"/>
      <c r="B12" s="11"/>
      <c r="C12" s="9"/>
      <c r="D12" s="9"/>
      <c r="E12" s="9"/>
      <c r="F12" s="9"/>
    </row>
    <row r="13" spans="1:6">
      <c r="A13" s="14" t="s">
        <v>236</v>
      </c>
      <c r="B13" s="9"/>
      <c r="C13" s="9"/>
      <c r="D13" s="9"/>
      <c r="E13" s="12">
        <f>SUM(E6:E12)</f>
        <v>50000</v>
      </c>
      <c r="F13" s="12">
        <f>SUM(F6:F12)</f>
        <v>57500</v>
      </c>
    </row>
  </sheetData>
  <customSheetViews>
    <customSheetView guid="{E62C39C8-EAA6-407C-933E-B5BB52ED1B14}" fitToPage="1">
      <selection activeCell="A9" sqref="A9"/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5" fitToHeight="0" orientation="portrait" r:id="rId2"/>
  <headerFooter>
    <oddFooter>&amp;L&amp;"-,Bold"Waimakariri District Council 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G19"/>
  <sheetViews>
    <sheetView workbookViewId="0">
      <selection activeCell="A22" sqref="A22"/>
    </sheetView>
  </sheetViews>
  <sheetFormatPr defaultRowHeight="15"/>
  <cols>
    <col min="1" max="1" width="45.71093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189</v>
      </c>
    </row>
    <row r="3" spans="1:7">
      <c r="A3" s="1" t="str">
        <f>'Cust water'!A3</f>
        <v>2023-24 Budget for Annual Plan</v>
      </c>
      <c r="G3" s="84"/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 ht="15.75" customHeight="1">
      <c r="A5" s="14" t="s">
        <v>4</v>
      </c>
      <c r="B5" s="9"/>
      <c r="C5" s="9"/>
      <c r="D5" s="9"/>
      <c r="E5" s="9"/>
      <c r="F5" s="9"/>
    </row>
    <row r="6" spans="1:7">
      <c r="A6" s="39" t="s">
        <v>3</v>
      </c>
      <c r="B6" s="41"/>
      <c r="C6" s="41"/>
      <c r="D6" s="41"/>
      <c r="E6" s="41"/>
      <c r="F6" s="41"/>
    </row>
    <row r="7" spans="1:7">
      <c r="A7" s="9"/>
      <c r="B7" s="55"/>
      <c r="C7" s="41"/>
      <c r="D7" s="11"/>
      <c r="E7" s="88"/>
      <c r="F7" s="88"/>
    </row>
    <row r="8" spans="1:7">
      <c r="A8" s="9"/>
      <c r="B8" s="11"/>
      <c r="C8" s="54"/>
      <c r="D8" s="11"/>
      <c r="E8" s="88"/>
      <c r="F8" s="88"/>
      <c r="G8" s="79"/>
    </row>
    <row r="9" spans="1:7">
      <c r="A9" s="39" t="s">
        <v>346</v>
      </c>
      <c r="B9" s="41"/>
      <c r="C9" s="41"/>
      <c r="D9" s="41"/>
      <c r="E9" s="41"/>
      <c r="F9" s="41"/>
    </row>
    <row r="10" spans="1:7">
      <c r="A10" s="9" t="s">
        <v>344</v>
      </c>
      <c r="B10" s="45">
        <v>669227</v>
      </c>
      <c r="C10" s="41"/>
      <c r="D10" s="41"/>
      <c r="E10" s="41"/>
      <c r="F10" s="41"/>
    </row>
    <row r="11" spans="1:7">
      <c r="A11" s="9"/>
      <c r="B11" s="11">
        <f>SUM(B10:B10)</f>
        <v>669227</v>
      </c>
      <c r="C11" s="54">
        <f>B11</f>
        <v>669227</v>
      </c>
      <c r="D11" s="11">
        <v>1050</v>
      </c>
      <c r="E11" s="88">
        <f>ROUND(B11/D11,0)</f>
        <v>637</v>
      </c>
      <c r="F11" s="88">
        <f>ROUND(E11*1.15,0)</f>
        <v>733</v>
      </c>
    </row>
    <row r="12" spans="1:7">
      <c r="A12" s="9"/>
      <c r="B12" s="41"/>
      <c r="C12" s="41"/>
      <c r="D12" s="41"/>
      <c r="E12" s="41"/>
      <c r="F12" s="41"/>
    </row>
    <row r="13" spans="1:7">
      <c r="A13" s="9"/>
      <c r="B13" s="11"/>
      <c r="C13" s="41"/>
      <c r="D13" s="41"/>
      <c r="E13" s="41"/>
      <c r="F13" s="41"/>
    </row>
    <row r="14" spans="1:7">
      <c r="A14" s="14" t="s">
        <v>184</v>
      </c>
      <c r="B14" s="41"/>
      <c r="C14" s="41"/>
      <c r="D14" s="88"/>
      <c r="E14" s="88">
        <f>SUM(E4:E13)</f>
        <v>637</v>
      </c>
      <c r="F14" s="88">
        <f>SUM(F4:F13)</f>
        <v>733</v>
      </c>
    </row>
    <row r="18" spans="1:1">
      <c r="A18" s="87"/>
    </row>
    <row r="19" spans="1:1">
      <c r="A19" s="87"/>
    </row>
  </sheetData>
  <customSheetViews>
    <customSheetView guid="{E62C39C8-EAA6-407C-933E-B5BB52ED1B14}" fitToPage="1">
      <selection activeCell="J26" sqref="J26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</customSheetView>
  </customSheetViews>
  <pageMargins left="0.51181102362204722" right="0.51181102362204722" top="0.74803149606299213" bottom="0.74803149606299213" header="0.31496062992125984" footer="0.31496062992125984"/>
  <pageSetup paperSize="9" scale="45" fitToHeight="0" orientation="portrait"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 tint="0.39997558519241921"/>
    <pageSetUpPr fitToPage="1"/>
  </sheetPr>
  <dimension ref="A1:Q25"/>
  <sheetViews>
    <sheetView workbookViewId="0">
      <selection activeCell="B17" sqref="B17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</cols>
  <sheetData>
    <row r="1" spans="1:7">
      <c r="A1" s="1" t="s">
        <v>0</v>
      </c>
    </row>
    <row r="2" spans="1:7">
      <c r="A2" s="1" t="s">
        <v>218</v>
      </c>
    </row>
    <row r="3" spans="1:7">
      <c r="A3" s="1" t="str">
        <f>'Cust water'!$A$3</f>
        <v>2023-24 Budget for Annual Plan</v>
      </c>
    </row>
    <row r="5" spans="1:7" ht="90">
      <c r="A5" s="14"/>
      <c r="B5" s="8"/>
      <c r="C5" s="8" t="s">
        <v>185</v>
      </c>
      <c r="D5" s="8" t="s">
        <v>186</v>
      </c>
      <c r="E5" s="8" t="s">
        <v>187</v>
      </c>
      <c r="F5" s="8" t="s">
        <v>183</v>
      </c>
    </row>
    <row r="6" spans="1:7">
      <c r="A6" s="14" t="s">
        <v>110</v>
      </c>
      <c r="B6" s="9"/>
      <c r="C6" s="9"/>
      <c r="D6" s="9"/>
      <c r="E6" s="9"/>
      <c r="F6" s="9"/>
    </row>
    <row r="7" spans="1:7">
      <c r="A7" s="39" t="s">
        <v>3</v>
      </c>
      <c r="B7" s="9"/>
      <c r="C7" s="9"/>
      <c r="D7" s="9"/>
      <c r="E7" s="9"/>
      <c r="F7" s="9"/>
    </row>
    <row r="8" spans="1:7">
      <c r="A8" s="9" t="s">
        <v>134</v>
      </c>
      <c r="B8" s="11">
        <v>790000</v>
      </c>
      <c r="C8" s="45"/>
      <c r="D8" s="41"/>
      <c r="E8" s="41"/>
      <c r="F8" s="41"/>
    </row>
    <row r="9" spans="1:7">
      <c r="A9" s="9" t="s">
        <v>135</v>
      </c>
      <c r="B9" s="11">
        <v>40000</v>
      </c>
      <c r="C9" s="45"/>
      <c r="D9" s="41"/>
      <c r="E9" s="41"/>
      <c r="F9" s="41"/>
    </row>
    <row r="10" spans="1:7">
      <c r="A10" s="9" t="s">
        <v>249</v>
      </c>
      <c r="B10" s="11">
        <v>160000</v>
      </c>
      <c r="C10" s="45"/>
      <c r="D10" s="41"/>
      <c r="E10" s="41"/>
      <c r="F10" s="41"/>
    </row>
    <row r="11" spans="1:7">
      <c r="A11" s="9"/>
      <c r="B11" s="54">
        <f>SUM(B8:B10)</f>
        <v>990000</v>
      </c>
      <c r="C11" s="54">
        <f>B11</f>
        <v>990000</v>
      </c>
      <c r="D11" s="11">
        <v>290</v>
      </c>
      <c r="E11" s="88">
        <f>ROUND(C11/D11,0)</f>
        <v>3414</v>
      </c>
      <c r="F11" s="88">
        <f>ROUND(E11*1.15,0)</f>
        <v>3926</v>
      </c>
    </row>
    <row r="12" spans="1:7">
      <c r="A12" s="39" t="s">
        <v>7</v>
      </c>
      <c r="B12" s="41"/>
      <c r="C12" s="41"/>
      <c r="D12" s="41"/>
      <c r="E12" s="41"/>
      <c r="F12" s="41"/>
    </row>
    <row r="13" spans="1:7">
      <c r="A13" s="9" t="s">
        <v>360</v>
      </c>
      <c r="B13" s="11">
        <v>538539</v>
      </c>
      <c r="C13" s="45"/>
      <c r="D13" s="41"/>
      <c r="E13" s="41"/>
      <c r="F13" s="41"/>
      <c r="G13" s="48"/>
    </row>
    <row r="14" spans="1:7">
      <c r="A14" s="9" t="s">
        <v>359</v>
      </c>
      <c r="B14" s="11">
        <v>470009</v>
      </c>
      <c r="C14" s="45"/>
      <c r="D14" s="41"/>
      <c r="E14" s="41"/>
      <c r="F14" s="41"/>
    </row>
    <row r="15" spans="1:7">
      <c r="A15" s="9" t="s">
        <v>362</v>
      </c>
      <c r="B15" s="11">
        <v>51886</v>
      </c>
      <c r="C15" s="41"/>
      <c r="D15" s="41"/>
      <c r="E15" s="41"/>
      <c r="F15" s="41"/>
    </row>
    <row r="16" spans="1:7">
      <c r="A16" s="9" t="s">
        <v>361</v>
      </c>
      <c r="B16" s="11">
        <v>420818</v>
      </c>
      <c r="C16" s="41"/>
      <c r="D16" s="41"/>
      <c r="E16" s="41"/>
      <c r="F16" s="41"/>
    </row>
    <row r="17" spans="1:17">
      <c r="A17" s="9"/>
      <c r="B17" s="54">
        <f>SUM(B13:B16)</f>
        <v>1481252</v>
      </c>
      <c r="C17" s="54">
        <f>B17</f>
        <v>1481252</v>
      </c>
      <c r="D17" s="11">
        <v>290</v>
      </c>
      <c r="E17" s="88">
        <f>ROUND(C17/D17,0)</f>
        <v>5108</v>
      </c>
      <c r="F17" s="88">
        <f>ROUNDUP(E17*1.15,0)</f>
        <v>5875</v>
      </c>
      <c r="Q17" s="31"/>
    </row>
    <row r="18" spans="1:17">
      <c r="A18" s="9"/>
      <c r="B18" s="11"/>
      <c r="C18" s="41"/>
      <c r="D18" s="41"/>
      <c r="E18" s="41"/>
      <c r="F18" s="41"/>
    </row>
    <row r="19" spans="1:17">
      <c r="A19" s="9" t="s">
        <v>130</v>
      </c>
      <c r="B19" s="54">
        <v>126100</v>
      </c>
      <c r="C19" s="54">
        <f>B19</f>
        <v>126100</v>
      </c>
      <c r="D19" s="11">
        <f>D17</f>
        <v>290</v>
      </c>
      <c r="E19" s="88">
        <f>ROUND(C19/D19,0)</f>
        <v>435</v>
      </c>
      <c r="F19" s="88">
        <f>ROUND(E19*1.15,0)</f>
        <v>500</v>
      </c>
      <c r="G19" s="79"/>
      <c r="Q19" s="31"/>
    </row>
    <row r="20" spans="1:17">
      <c r="A20" s="9"/>
      <c r="B20" s="11"/>
      <c r="C20" s="9"/>
      <c r="D20" s="9"/>
      <c r="E20" s="9"/>
      <c r="F20" s="9"/>
    </row>
    <row r="21" spans="1:17">
      <c r="A21" s="14" t="s">
        <v>184</v>
      </c>
      <c r="B21" s="9"/>
      <c r="C21" s="9"/>
      <c r="D21" s="9"/>
      <c r="E21" s="12">
        <f>SUM(E6:E20)</f>
        <v>8957</v>
      </c>
      <c r="F21" s="12">
        <f>SUM(F6:F20)</f>
        <v>10301</v>
      </c>
    </row>
    <row r="25" spans="1:17">
      <c r="F25" s="4"/>
    </row>
  </sheetData>
  <customSheetViews>
    <customSheetView guid="{E62C39C8-EAA6-407C-933E-B5BB52ED1B14}" fitToPage="1">
      <selection activeCell="D11" sqref="D11"/>
      <pageMargins left="0.51181102362204722" right="0.51181102362204722" top="0.74803149606299213" bottom="0.74803149606299213" header="0.31496062992125984" footer="0.31496062992125984"/>
      <pageSetup paperSize="9" scale="67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40" fitToHeight="0" orientation="portrait" r:id="rId2"/>
  <headerFooter>
    <oddFooter>&amp;L&amp;"-,Bold"Waimakariri District Council &amp;C&amp;D&amp;RPage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9" tint="0.39997558519241921"/>
  </sheetPr>
  <dimension ref="A1:M28"/>
  <sheetViews>
    <sheetView topLeftCell="A5" workbookViewId="0">
      <selection activeCell="R12" sqref="R12"/>
    </sheetView>
  </sheetViews>
  <sheetFormatPr defaultRowHeight="15"/>
  <cols>
    <col min="1" max="1" width="40.28515625" bestFit="1" customWidth="1"/>
    <col min="2" max="2" width="11.5703125" bestFit="1" customWidth="1"/>
    <col min="3" max="3" width="14.85546875" customWidth="1"/>
    <col min="4" max="4" width="14.140625" customWidth="1"/>
    <col min="5" max="5" width="12.28515625" customWidth="1"/>
    <col min="6" max="6" width="14.28515625" customWidth="1"/>
    <col min="7" max="7" width="8.5703125" customWidth="1"/>
  </cols>
  <sheetData>
    <row r="1" spans="1:13">
      <c r="A1" s="1" t="s">
        <v>0</v>
      </c>
    </row>
    <row r="2" spans="1:13">
      <c r="A2" s="1" t="s">
        <v>219</v>
      </c>
    </row>
    <row r="3" spans="1:13">
      <c r="A3" s="1" t="str">
        <f>'Cust water'!$A$3</f>
        <v>2023-24 Budget for Annual Plan</v>
      </c>
    </row>
    <row r="5" spans="1:13" ht="90">
      <c r="A5" s="14"/>
      <c r="B5" s="8" t="s">
        <v>34</v>
      </c>
      <c r="C5" s="8" t="s">
        <v>185</v>
      </c>
      <c r="D5" s="8" t="s">
        <v>186</v>
      </c>
      <c r="E5" s="8" t="s">
        <v>187</v>
      </c>
      <c r="F5" s="8" t="s">
        <v>183</v>
      </c>
    </row>
    <row r="6" spans="1:13">
      <c r="A6" s="14" t="s">
        <v>110</v>
      </c>
      <c r="B6" s="9"/>
      <c r="C6" s="9"/>
      <c r="D6" s="9"/>
      <c r="E6" s="9"/>
      <c r="F6" s="9"/>
    </row>
    <row r="7" spans="1:13">
      <c r="A7" s="39" t="s">
        <v>3</v>
      </c>
      <c r="B7" s="9"/>
      <c r="C7" s="9"/>
      <c r="D7" s="9"/>
      <c r="E7" s="9"/>
      <c r="F7" s="9"/>
    </row>
    <row r="8" spans="1:13" ht="30">
      <c r="A8" s="16" t="s">
        <v>136</v>
      </c>
      <c r="B8" s="24">
        <v>0</v>
      </c>
      <c r="C8" s="24">
        <f>B8</f>
        <v>0</v>
      </c>
      <c r="D8" s="24">
        <v>555</v>
      </c>
      <c r="E8" s="24">
        <f>ROUND(B8/D8,0)</f>
        <v>0</v>
      </c>
      <c r="F8" s="24">
        <f>ROUND(E8*1.15,0)</f>
        <v>0</v>
      </c>
    </row>
    <row r="9" spans="1:13">
      <c r="A9" s="9"/>
      <c r="B9" s="11"/>
      <c r="C9" s="41"/>
      <c r="D9" s="41"/>
      <c r="E9" s="41"/>
      <c r="F9" s="41"/>
    </row>
    <row r="10" spans="1:13">
      <c r="A10" s="9" t="s">
        <v>137</v>
      </c>
      <c r="B10" s="11">
        <f>1764800+233280</f>
        <v>1998080</v>
      </c>
      <c r="C10" s="54">
        <f>B10</f>
        <v>1998080</v>
      </c>
      <c r="D10" s="11">
        <v>555</v>
      </c>
      <c r="E10" s="88">
        <f>ROUND(B10/D10,0)</f>
        <v>3600</v>
      </c>
      <c r="F10" s="88">
        <f>ROUND(E10*1.15,0)</f>
        <v>4140</v>
      </c>
      <c r="G10" s="31"/>
      <c r="M10" s="31"/>
    </row>
    <row r="11" spans="1:13">
      <c r="A11" s="9"/>
      <c r="B11" s="11"/>
      <c r="C11" s="41"/>
      <c r="D11" s="41"/>
      <c r="E11" s="41"/>
      <c r="F11" s="41"/>
    </row>
    <row r="12" spans="1:13">
      <c r="A12" s="9" t="s">
        <v>138</v>
      </c>
      <c r="B12" s="11">
        <v>-654400</v>
      </c>
      <c r="C12" s="54">
        <f>B12</f>
        <v>-654400</v>
      </c>
      <c r="D12" s="11">
        <v>555</v>
      </c>
      <c r="E12" s="101">
        <f>ROUND(B12/D12,0)</f>
        <v>-1179</v>
      </c>
      <c r="F12" s="101">
        <f>ROUND(E12*1.15,0)</f>
        <v>-1356</v>
      </c>
      <c r="G12" s="79"/>
    </row>
    <row r="13" spans="1:13">
      <c r="A13" s="9"/>
      <c r="B13" s="11"/>
      <c r="C13" s="41"/>
      <c r="D13" s="41"/>
      <c r="E13" s="41"/>
      <c r="F13" s="41"/>
    </row>
    <row r="14" spans="1:13">
      <c r="A14" s="14" t="s">
        <v>184</v>
      </c>
      <c r="B14" s="41"/>
      <c r="C14" s="41"/>
      <c r="D14" s="41"/>
      <c r="E14" s="88">
        <f>SUM(E6:E13)</f>
        <v>2421</v>
      </c>
      <c r="F14" s="88">
        <f>SUM(F6:F13)</f>
        <v>2784</v>
      </c>
    </row>
    <row r="15" spans="1:13">
      <c r="A15" s="9"/>
      <c r="B15" s="41"/>
      <c r="C15" s="41"/>
      <c r="D15" s="41"/>
      <c r="E15" s="41"/>
      <c r="F15" s="41"/>
    </row>
    <row r="16" spans="1:13">
      <c r="A16" s="9"/>
      <c r="B16" s="41"/>
      <c r="C16" s="41"/>
      <c r="D16" s="41"/>
      <c r="E16" s="41"/>
      <c r="F16" s="41"/>
    </row>
    <row r="17" spans="1:7">
      <c r="A17" s="9"/>
      <c r="B17" s="41"/>
      <c r="C17" s="41"/>
      <c r="D17" s="41"/>
      <c r="E17" s="41"/>
      <c r="F17" s="41"/>
    </row>
    <row r="18" spans="1:7">
      <c r="A18" s="14" t="s">
        <v>232</v>
      </c>
      <c r="B18" s="41"/>
      <c r="C18" s="41"/>
      <c r="D18" s="41"/>
      <c r="E18" s="41"/>
      <c r="F18" s="41"/>
    </row>
    <row r="19" spans="1:7">
      <c r="A19" s="9"/>
      <c r="B19" s="41"/>
      <c r="C19" s="41"/>
      <c r="D19" s="41"/>
      <c r="E19" s="41"/>
      <c r="F19" s="41"/>
    </row>
    <row r="20" spans="1:7" ht="45">
      <c r="A20" s="9"/>
      <c r="B20" s="41"/>
      <c r="C20" s="72" t="s">
        <v>32</v>
      </c>
      <c r="D20" s="72" t="s">
        <v>139</v>
      </c>
      <c r="E20" s="72" t="s">
        <v>182</v>
      </c>
      <c r="F20" s="72" t="s">
        <v>183</v>
      </c>
    </row>
    <row r="21" spans="1:7">
      <c r="A21" s="14" t="s">
        <v>110</v>
      </c>
      <c r="B21" s="41"/>
      <c r="C21" s="41"/>
      <c r="D21" s="41"/>
      <c r="E21" s="41"/>
      <c r="F21" s="41"/>
    </row>
    <row r="22" spans="1:7">
      <c r="A22" s="39" t="s">
        <v>3</v>
      </c>
      <c r="B22" s="41"/>
      <c r="C22" s="41"/>
      <c r="D22" s="41"/>
      <c r="E22" s="41"/>
      <c r="F22" s="41"/>
    </row>
    <row r="23" spans="1:7" ht="30">
      <c r="A23" s="16" t="s">
        <v>136</v>
      </c>
      <c r="B23" s="24">
        <v>654400</v>
      </c>
      <c r="C23" s="41"/>
      <c r="D23" s="41"/>
      <c r="E23" s="41"/>
      <c r="F23" s="41"/>
      <c r="G23" s="79"/>
    </row>
    <row r="24" spans="1:7">
      <c r="A24" s="9"/>
      <c r="B24" s="11"/>
      <c r="C24" s="41"/>
      <c r="D24" s="41"/>
      <c r="E24" s="41"/>
      <c r="F24" s="41"/>
    </row>
    <row r="25" spans="1:7">
      <c r="A25" s="9"/>
      <c r="B25" s="54">
        <f>SUM(B23:B24)</f>
        <v>654400</v>
      </c>
      <c r="C25" s="54">
        <f>B25</f>
        <v>654400</v>
      </c>
      <c r="D25" s="11">
        <v>87000</v>
      </c>
      <c r="E25" s="88">
        <f>ROUND(B25/D25,2)</f>
        <v>7.52</v>
      </c>
      <c r="F25" s="88">
        <f>ROUND(E25*1.15,2)</f>
        <v>8.65</v>
      </c>
    </row>
    <row r="26" spans="1:7">
      <c r="A26" s="9"/>
      <c r="B26" s="11"/>
      <c r="C26" s="9"/>
      <c r="D26" s="9"/>
      <c r="E26" s="9"/>
      <c r="F26" s="9"/>
    </row>
    <row r="27" spans="1:7">
      <c r="A27" s="9"/>
      <c r="B27" s="11"/>
      <c r="C27" s="9"/>
      <c r="D27" s="9"/>
      <c r="E27" s="9"/>
      <c r="F27" s="9"/>
    </row>
    <row r="28" spans="1:7">
      <c r="A28" s="14" t="s">
        <v>142</v>
      </c>
      <c r="B28" s="9"/>
      <c r="C28" s="9"/>
      <c r="D28" s="9"/>
      <c r="E28" s="12">
        <f>SUM(E21:E27)</f>
        <v>7.52</v>
      </c>
      <c r="F28" s="12">
        <f>SUM(F21:F27)</f>
        <v>8.65</v>
      </c>
    </row>
  </sheetData>
  <customSheetViews>
    <customSheetView guid="{E62C39C8-EAA6-407C-933E-B5BB52ED1B14}" fitToPage="1">
      <selection activeCell="J29" sqref="J29"/>
      <pageMargins left="0.51181102362204722" right="0.51181102362204722" top="0.74803149606299213" bottom="0.74803149606299213" header="0.31496062992125984" footer="0.31496062992125984"/>
      <pageSetup paperSize="9" scale="85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70" fitToHeight="0" orientation="landscape" r:id="rId2"/>
  <headerFooter>
    <oddFooter>&amp;L&amp;"-,Bold"Waimakariri District Council &amp;C&amp;D&amp;RPage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0" tint="-0.14999847407452621"/>
    <pageSetUpPr fitToPage="1"/>
  </sheetPr>
  <dimension ref="A1:J143"/>
  <sheetViews>
    <sheetView zoomScaleNormal="100" workbookViewId="0">
      <selection activeCell="J80" sqref="J80"/>
    </sheetView>
  </sheetViews>
  <sheetFormatPr defaultRowHeight="15"/>
  <cols>
    <col min="1" max="1" width="40.28515625" style="48" bestFit="1" customWidth="1"/>
    <col min="2" max="2" width="15" style="48" customWidth="1"/>
    <col min="3" max="3" width="14.5703125" style="48" customWidth="1"/>
    <col min="4" max="4" width="12.28515625" style="48" bestFit="1" customWidth="1"/>
    <col min="5" max="5" width="11.5703125" style="48" bestFit="1" customWidth="1"/>
    <col min="6" max="7" width="12.7109375" style="48" customWidth="1"/>
    <col min="8" max="8" width="13.5703125" style="48" customWidth="1"/>
    <col min="9" max="9" width="9.140625" style="48"/>
    <col min="10" max="10" width="11.5703125" style="48" bestFit="1" customWidth="1"/>
    <col min="11" max="11" width="9.5703125" style="48" bestFit="1" customWidth="1"/>
    <col min="12" max="16384" width="9.140625" style="48"/>
  </cols>
  <sheetData>
    <row r="1" spans="1:8">
      <c r="A1" s="127" t="s">
        <v>0</v>
      </c>
      <c r="B1" s="127"/>
    </row>
    <row r="2" spans="1:8">
      <c r="A2" s="127" t="s">
        <v>9</v>
      </c>
      <c r="B2" s="127"/>
    </row>
    <row r="3" spans="1:8">
      <c r="A3" s="127" t="str">
        <f>'Cust water'!$A$3</f>
        <v>2023-24 Budget for Annual Plan</v>
      </c>
      <c r="B3" s="127"/>
    </row>
    <row r="5" spans="1:8" ht="45">
      <c r="A5" s="128"/>
      <c r="B5" s="85" t="s">
        <v>34</v>
      </c>
      <c r="C5" s="85" t="s">
        <v>33</v>
      </c>
      <c r="D5" s="85" t="s">
        <v>11</v>
      </c>
      <c r="E5" s="85" t="s">
        <v>220</v>
      </c>
      <c r="F5" s="85" t="s">
        <v>221</v>
      </c>
      <c r="G5" s="85" t="s">
        <v>187</v>
      </c>
      <c r="H5" s="85" t="s">
        <v>183</v>
      </c>
    </row>
    <row r="6" spans="1:8">
      <c r="A6" s="129" t="s">
        <v>3</v>
      </c>
      <c r="B6" s="128"/>
      <c r="C6" s="60"/>
      <c r="D6" s="60"/>
      <c r="E6" s="60"/>
      <c r="F6" s="60"/>
      <c r="G6" s="60"/>
      <c r="H6" s="60"/>
    </row>
    <row r="7" spans="1:8">
      <c r="A7" s="62" t="s">
        <v>10</v>
      </c>
      <c r="B7" s="128"/>
      <c r="C7" s="60"/>
      <c r="D7" s="60"/>
      <c r="E7" s="60"/>
      <c r="F7" s="60"/>
      <c r="G7" s="60"/>
      <c r="H7" s="60"/>
    </row>
    <row r="8" spans="1:8">
      <c r="A8" s="60" t="s">
        <v>12</v>
      </c>
      <c r="B8" s="24">
        <v>1351933</v>
      </c>
      <c r="C8" s="49">
        <f>B8*0.5</f>
        <v>675966.5</v>
      </c>
      <c r="D8" s="24">
        <f>-ROUND(C8*0.51,0)</f>
        <v>-344743</v>
      </c>
      <c r="E8" s="93">
        <f>SUM(C8:D8)</f>
        <v>331223.5</v>
      </c>
      <c r="F8" s="60"/>
      <c r="G8" s="92">
        <f t="shared" ref="G8:G39" si="0">E8/F$94</f>
        <v>69.004895833333336</v>
      </c>
      <c r="H8" s="92">
        <f>G8*1.15</f>
        <v>79.355630208333324</v>
      </c>
    </row>
    <row r="9" spans="1:8">
      <c r="A9" s="60" t="s">
        <v>429</v>
      </c>
      <c r="B9" s="24">
        <v>949000</v>
      </c>
      <c r="C9" s="24">
        <f>B9*0.5</f>
        <v>474500</v>
      </c>
      <c r="D9" s="24">
        <f t="shared" ref="D9:D58" si="1">-ROUND(C9*0.51,0)</f>
        <v>-241995</v>
      </c>
      <c r="E9" s="93">
        <f t="shared" ref="E9:E92" si="2">SUM(C9:D9)</f>
        <v>232505</v>
      </c>
      <c r="F9" s="60"/>
      <c r="G9" s="92">
        <f t="shared" si="0"/>
        <v>48.438541666666666</v>
      </c>
      <c r="H9" s="92">
        <f t="shared" ref="H9:H72" si="3">G9*1.15</f>
        <v>55.704322916666662</v>
      </c>
    </row>
    <row r="10" spans="1:8">
      <c r="A10" s="60" t="s">
        <v>526</v>
      </c>
      <c r="B10" s="24">
        <v>696555</v>
      </c>
      <c r="C10" s="24">
        <f t="shared" ref="C10:C29" si="4">B10*0.5</f>
        <v>348277.5</v>
      </c>
      <c r="D10" s="24">
        <f t="shared" ref="D10:D29" si="5">-ROUND(C10*0.51,0)</f>
        <v>-177622</v>
      </c>
      <c r="E10" s="93">
        <f t="shared" ref="E10:E29" si="6">SUM(C10:D10)</f>
        <v>170655.5</v>
      </c>
      <c r="F10" s="60"/>
      <c r="G10" s="92">
        <f t="shared" si="0"/>
        <v>35.553229166666668</v>
      </c>
      <c r="H10" s="92">
        <f t="shared" si="3"/>
        <v>40.886213541666663</v>
      </c>
    </row>
    <row r="11" spans="1:8">
      <c r="A11" s="60" t="s">
        <v>527</v>
      </c>
      <c r="B11" s="24">
        <v>763328</v>
      </c>
      <c r="C11" s="24">
        <f t="shared" si="4"/>
        <v>381664</v>
      </c>
      <c r="D11" s="24">
        <f t="shared" si="5"/>
        <v>-194649</v>
      </c>
      <c r="E11" s="93">
        <f t="shared" si="6"/>
        <v>187015</v>
      </c>
      <c r="F11" s="60"/>
      <c r="G11" s="92">
        <f t="shared" si="0"/>
        <v>38.961458333333333</v>
      </c>
      <c r="H11" s="92">
        <f t="shared" si="3"/>
        <v>44.805677083333329</v>
      </c>
    </row>
    <row r="12" spans="1:8">
      <c r="A12" s="60" t="s">
        <v>528</v>
      </c>
      <c r="B12" s="24">
        <v>865501</v>
      </c>
      <c r="C12" s="24">
        <f t="shared" si="4"/>
        <v>432750.5</v>
      </c>
      <c r="D12" s="24">
        <f t="shared" si="5"/>
        <v>-220703</v>
      </c>
      <c r="E12" s="93">
        <f t="shared" si="6"/>
        <v>212047.5</v>
      </c>
      <c r="F12" s="60"/>
      <c r="G12" s="92">
        <f t="shared" si="0"/>
        <v>44.176562500000003</v>
      </c>
      <c r="H12" s="92">
        <f t="shared" si="3"/>
        <v>50.803046875</v>
      </c>
    </row>
    <row r="13" spans="1:8">
      <c r="A13" s="60" t="s">
        <v>529</v>
      </c>
      <c r="B13" s="24">
        <v>854354</v>
      </c>
      <c r="C13" s="24">
        <f t="shared" si="4"/>
        <v>427177</v>
      </c>
      <c r="D13" s="24">
        <f t="shared" si="5"/>
        <v>-217860</v>
      </c>
      <c r="E13" s="93">
        <f t="shared" si="6"/>
        <v>209317</v>
      </c>
      <c r="F13" s="60"/>
      <c r="G13" s="92">
        <f t="shared" si="0"/>
        <v>43.607708333333335</v>
      </c>
      <c r="H13" s="92">
        <f t="shared" si="3"/>
        <v>50.148864583333328</v>
      </c>
    </row>
    <row r="14" spans="1:8">
      <c r="A14" s="60" t="s">
        <v>530</v>
      </c>
      <c r="B14" s="24">
        <v>873176</v>
      </c>
      <c r="C14" s="24">
        <f t="shared" si="4"/>
        <v>436588</v>
      </c>
      <c r="D14" s="24">
        <f t="shared" si="5"/>
        <v>-222660</v>
      </c>
      <c r="E14" s="93">
        <f t="shared" si="6"/>
        <v>213928</v>
      </c>
      <c r="F14" s="60"/>
      <c r="G14" s="92">
        <f t="shared" si="0"/>
        <v>44.568333333333335</v>
      </c>
      <c r="H14" s="92">
        <f t="shared" si="3"/>
        <v>51.253583333333331</v>
      </c>
    </row>
    <row r="15" spans="1:8">
      <c r="A15" s="60" t="s">
        <v>531</v>
      </c>
      <c r="B15" s="24">
        <v>350000</v>
      </c>
      <c r="C15" s="24">
        <f t="shared" si="4"/>
        <v>175000</v>
      </c>
      <c r="D15" s="24">
        <f t="shared" si="5"/>
        <v>-89250</v>
      </c>
      <c r="E15" s="93">
        <f t="shared" si="6"/>
        <v>85750</v>
      </c>
      <c r="F15" s="60"/>
      <c r="G15" s="92">
        <f t="shared" si="0"/>
        <v>17.864583333333332</v>
      </c>
      <c r="H15" s="92">
        <f t="shared" si="3"/>
        <v>20.544270833333332</v>
      </c>
    </row>
    <row r="16" spans="1:8">
      <c r="A16" s="60" t="s">
        <v>532</v>
      </c>
      <c r="B16" s="24">
        <v>962205</v>
      </c>
      <c r="C16" s="24">
        <f t="shared" si="4"/>
        <v>481102.5</v>
      </c>
      <c r="D16" s="24">
        <f t="shared" si="5"/>
        <v>-245362</v>
      </c>
      <c r="E16" s="93">
        <f t="shared" si="6"/>
        <v>235740.5</v>
      </c>
      <c r="F16" s="60"/>
      <c r="G16" s="92">
        <f t="shared" si="0"/>
        <v>49.112604166666664</v>
      </c>
      <c r="H16" s="92">
        <f t="shared" si="3"/>
        <v>56.47949479166666</v>
      </c>
    </row>
    <row r="17" spans="1:10">
      <c r="A17" s="60" t="s">
        <v>533</v>
      </c>
      <c r="B17" s="24">
        <v>256930</v>
      </c>
      <c r="C17" s="24">
        <f t="shared" si="4"/>
        <v>128465</v>
      </c>
      <c r="D17" s="24">
        <f t="shared" si="5"/>
        <v>-65517</v>
      </c>
      <c r="E17" s="93">
        <f t="shared" si="6"/>
        <v>62948</v>
      </c>
      <c r="F17" s="60"/>
      <c r="G17" s="92">
        <f t="shared" si="0"/>
        <v>13.114166666666666</v>
      </c>
      <c r="H17" s="92">
        <f t="shared" si="3"/>
        <v>15.081291666666665</v>
      </c>
    </row>
    <row r="18" spans="1:10">
      <c r="A18" s="60" t="s">
        <v>534</v>
      </c>
      <c r="B18" s="24">
        <v>1748620</v>
      </c>
      <c r="C18" s="24">
        <f t="shared" si="4"/>
        <v>874310</v>
      </c>
      <c r="D18" s="24">
        <f t="shared" si="5"/>
        <v>-445898</v>
      </c>
      <c r="E18" s="93">
        <f t="shared" si="6"/>
        <v>428412</v>
      </c>
      <c r="F18" s="60"/>
      <c r="G18" s="92">
        <f t="shared" si="0"/>
        <v>89.252499999999998</v>
      </c>
      <c r="H18" s="92">
        <f t="shared" si="3"/>
        <v>102.64037499999999</v>
      </c>
    </row>
    <row r="19" spans="1:10">
      <c r="A19" s="60" t="s">
        <v>535</v>
      </c>
      <c r="B19" s="24">
        <v>739786</v>
      </c>
      <c r="C19" s="24">
        <f t="shared" si="4"/>
        <v>369893</v>
      </c>
      <c r="D19" s="24">
        <f t="shared" si="5"/>
        <v>-188645</v>
      </c>
      <c r="E19" s="93">
        <f t="shared" si="6"/>
        <v>181248</v>
      </c>
      <c r="F19" s="60"/>
      <c r="G19" s="92">
        <f t="shared" si="0"/>
        <v>37.76</v>
      </c>
      <c r="H19" s="92">
        <f t="shared" si="3"/>
        <v>43.423999999999992</v>
      </c>
    </row>
    <row r="20" spans="1:10">
      <c r="A20" s="60" t="s">
        <v>536</v>
      </c>
      <c r="B20" s="24">
        <v>725280</v>
      </c>
      <c r="C20" s="24">
        <f t="shared" si="4"/>
        <v>362640</v>
      </c>
      <c r="D20" s="24">
        <f t="shared" si="5"/>
        <v>-184946</v>
      </c>
      <c r="E20" s="93">
        <f t="shared" si="6"/>
        <v>177694</v>
      </c>
      <c r="F20" s="60"/>
      <c r="G20" s="92">
        <f t="shared" si="0"/>
        <v>37.019583333333337</v>
      </c>
      <c r="H20" s="92">
        <f t="shared" si="3"/>
        <v>42.572520833333336</v>
      </c>
    </row>
    <row r="21" spans="1:10">
      <c r="A21" s="60" t="s">
        <v>537</v>
      </c>
      <c r="B21" s="24">
        <v>1911510</v>
      </c>
      <c r="C21" s="24">
        <f t="shared" si="4"/>
        <v>955755</v>
      </c>
      <c r="D21" s="24">
        <f t="shared" si="5"/>
        <v>-487435</v>
      </c>
      <c r="E21" s="93">
        <f t="shared" si="6"/>
        <v>468320</v>
      </c>
      <c r="F21" s="60"/>
      <c r="G21" s="92">
        <f t="shared" si="0"/>
        <v>97.566666666666663</v>
      </c>
      <c r="H21" s="92">
        <f t="shared" si="3"/>
        <v>112.20166666666665</v>
      </c>
    </row>
    <row r="22" spans="1:10">
      <c r="A22" s="60" t="s">
        <v>538</v>
      </c>
      <c r="B22" s="24">
        <v>478490</v>
      </c>
      <c r="C22" s="24">
        <f t="shared" si="4"/>
        <v>239245</v>
      </c>
      <c r="D22" s="24">
        <f t="shared" si="5"/>
        <v>-122015</v>
      </c>
      <c r="E22" s="93">
        <f t="shared" si="6"/>
        <v>117230</v>
      </c>
      <c r="F22" s="60"/>
      <c r="G22" s="92">
        <f t="shared" si="0"/>
        <v>24.422916666666666</v>
      </c>
      <c r="H22" s="92">
        <f t="shared" si="3"/>
        <v>28.086354166666663</v>
      </c>
    </row>
    <row r="23" spans="1:10">
      <c r="A23" s="60" t="s">
        <v>539</v>
      </c>
      <c r="B23" s="24">
        <v>155250</v>
      </c>
      <c r="C23" s="24">
        <f t="shared" si="4"/>
        <v>77625</v>
      </c>
      <c r="D23" s="24">
        <f t="shared" si="5"/>
        <v>-39589</v>
      </c>
      <c r="E23" s="93">
        <f t="shared" si="6"/>
        <v>38036</v>
      </c>
      <c r="F23" s="60"/>
      <c r="G23" s="92">
        <f t="shared" si="0"/>
        <v>7.9241666666666664</v>
      </c>
      <c r="H23" s="92">
        <f t="shared" si="3"/>
        <v>9.1127916666666664</v>
      </c>
    </row>
    <row r="24" spans="1:10">
      <c r="A24" s="60" t="s">
        <v>540</v>
      </c>
      <c r="B24" s="24">
        <v>630627</v>
      </c>
      <c r="C24" s="24">
        <f t="shared" si="4"/>
        <v>315313.5</v>
      </c>
      <c r="D24" s="24">
        <f t="shared" si="5"/>
        <v>-160810</v>
      </c>
      <c r="E24" s="93">
        <f t="shared" si="6"/>
        <v>154503.5</v>
      </c>
      <c r="F24" s="60"/>
      <c r="G24" s="92">
        <f t="shared" si="0"/>
        <v>32.188229166666666</v>
      </c>
      <c r="H24" s="92">
        <f t="shared" si="3"/>
        <v>37.01646354166666</v>
      </c>
    </row>
    <row r="25" spans="1:10">
      <c r="A25" s="60" t="s">
        <v>541</v>
      </c>
      <c r="B25" s="24">
        <v>689518</v>
      </c>
      <c r="C25" s="24">
        <f t="shared" si="4"/>
        <v>344759</v>
      </c>
      <c r="D25" s="24">
        <f t="shared" si="5"/>
        <v>-175827</v>
      </c>
      <c r="E25" s="93">
        <f t="shared" si="6"/>
        <v>168932</v>
      </c>
      <c r="F25" s="60"/>
      <c r="G25" s="92">
        <f t="shared" si="0"/>
        <v>35.194166666666668</v>
      </c>
      <c r="H25" s="92">
        <f t="shared" si="3"/>
        <v>40.473291666666668</v>
      </c>
    </row>
    <row r="26" spans="1:10">
      <c r="A26" s="60" t="s">
        <v>542</v>
      </c>
      <c r="B26" s="24">
        <v>390154</v>
      </c>
      <c r="C26" s="24">
        <f t="shared" si="4"/>
        <v>195077</v>
      </c>
      <c r="D26" s="24">
        <f t="shared" si="5"/>
        <v>-99489</v>
      </c>
      <c r="E26" s="93">
        <f t="shared" si="6"/>
        <v>95588</v>
      </c>
      <c r="F26" s="60"/>
      <c r="G26" s="92">
        <f t="shared" si="0"/>
        <v>19.914166666666667</v>
      </c>
      <c r="H26" s="92">
        <f t="shared" si="3"/>
        <v>22.901291666666665</v>
      </c>
    </row>
    <row r="27" spans="1:10">
      <c r="A27" s="60" t="s">
        <v>543</v>
      </c>
      <c r="B27" s="24">
        <v>396289</v>
      </c>
      <c r="C27" s="24">
        <f t="shared" si="4"/>
        <v>198144.5</v>
      </c>
      <c r="D27" s="24">
        <f t="shared" si="5"/>
        <v>-101054</v>
      </c>
      <c r="E27" s="93">
        <f t="shared" si="6"/>
        <v>97090.5</v>
      </c>
      <c r="F27" s="60"/>
      <c r="G27" s="92">
        <f t="shared" si="0"/>
        <v>20.227187499999999</v>
      </c>
      <c r="H27" s="92">
        <f t="shared" si="3"/>
        <v>23.261265624999997</v>
      </c>
    </row>
    <row r="28" spans="1:10">
      <c r="A28" s="60" t="s">
        <v>544</v>
      </c>
      <c r="B28" s="24">
        <v>795031</v>
      </c>
      <c r="C28" s="24">
        <f t="shared" si="4"/>
        <v>397515.5</v>
      </c>
      <c r="D28" s="24">
        <f t="shared" si="5"/>
        <v>-202733</v>
      </c>
      <c r="E28" s="93">
        <f t="shared" si="6"/>
        <v>194782.5</v>
      </c>
      <c r="F28" s="60"/>
      <c r="G28" s="92">
        <f t="shared" si="0"/>
        <v>40.579687499999999</v>
      </c>
      <c r="H28" s="92">
        <f t="shared" si="3"/>
        <v>46.666640624999992</v>
      </c>
    </row>
    <row r="29" spans="1:10">
      <c r="A29" s="60" t="s">
        <v>545</v>
      </c>
      <c r="B29" s="24">
        <v>1340180</v>
      </c>
      <c r="C29" s="24">
        <f t="shared" si="4"/>
        <v>670090</v>
      </c>
      <c r="D29" s="24">
        <f t="shared" si="5"/>
        <v>-341746</v>
      </c>
      <c r="E29" s="93">
        <f t="shared" si="6"/>
        <v>328344</v>
      </c>
      <c r="F29" s="60"/>
      <c r="G29" s="92">
        <f t="shared" si="0"/>
        <v>68.405000000000001</v>
      </c>
      <c r="H29" s="92">
        <f t="shared" si="3"/>
        <v>78.665749999999989</v>
      </c>
    </row>
    <row r="30" spans="1:10" ht="30">
      <c r="A30" s="85" t="s">
        <v>285</v>
      </c>
      <c r="B30" s="24">
        <v>576996</v>
      </c>
      <c r="C30" s="24">
        <f>B30*0.5</f>
        <v>288498</v>
      </c>
      <c r="D30" s="24">
        <f t="shared" si="1"/>
        <v>-147134</v>
      </c>
      <c r="E30" s="93">
        <f t="shared" si="2"/>
        <v>141364</v>
      </c>
      <c r="F30" s="60"/>
      <c r="G30" s="92">
        <f t="shared" si="0"/>
        <v>29.450833333333332</v>
      </c>
      <c r="H30" s="92">
        <f t="shared" si="3"/>
        <v>33.868458333333329</v>
      </c>
    </row>
    <row r="31" spans="1:10" ht="30">
      <c r="A31" s="74" t="s">
        <v>286</v>
      </c>
      <c r="B31" s="76">
        <v>1217850</v>
      </c>
      <c r="C31" s="76">
        <f>0.2*B31</f>
        <v>243570</v>
      </c>
      <c r="D31" s="76">
        <f t="shared" si="1"/>
        <v>-124221</v>
      </c>
      <c r="E31" s="76">
        <f t="shared" si="2"/>
        <v>119349</v>
      </c>
      <c r="F31" s="60"/>
      <c r="G31" s="92">
        <f t="shared" si="0"/>
        <v>24.864374999999999</v>
      </c>
      <c r="H31" s="92">
        <f t="shared" si="3"/>
        <v>28.594031249999997</v>
      </c>
      <c r="J31" s="130"/>
    </row>
    <row r="32" spans="1:10" ht="30">
      <c r="A32" s="85" t="s">
        <v>546</v>
      </c>
      <c r="B32" s="76">
        <v>351813</v>
      </c>
      <c r="C32" s="24">
        <f t="shared" ref="C32:C51" si="7">B32*0.5</f>
        <v>175906.5</v>
      </c>
      <c r="D32" s="76">
        <f t="shared" ref="D32:D51" si="8">-ROUND(C32*0.51,0)</f>
        <v>-89712</v>
      </c>
      <c r="E32" s="76">
        <f t="shared" ref="E32:E51" si="9">SUM(C32:D32)</f>
        <v>86194.5</v>
      </c>
      <c r="F32" s="60"/>
      <c r="G32" s="92">
        <f t="shared" si="0"/>
        <v>17.9571875</v>
      </c>
      <c r="H32" s="92">
        <f t="shared" si="3"/>
        <v>20.650765624999998</v>
      </c>
    </row>
    <row r="33" spans="1:8" ht="30">
      <c r="A33" s="85" t="s">
        <v>547</v>
      </c>
      <c r="B33" s="76">
        <v>170775</v>
      </c>
      <c r="C33" s="24">
        <f t="shared" si="7"/>
        <v>85387.5</v>
      </c>
      <c r="D33" s="76">
        <f t="shared" si="8"/>
        <v>-43548</v>
      </c>
      <c r="E33" s="76">
        <f t="shared" si="9"/>
        <v>41839.5</v>
      </c>
      <c r="F33" s="60"/>
      <c r="G33" s="92">
        <f t="shared" si="0"/>
        <v>8.7165625000000002</v>
      </c>
      <c r="H33" s="92">
        <f t="shared" si="3"/>
        <v>10.024046875</v>
      </c>
    </row>
    <row r="34" spans="1:8" ht="45">
      <c r="A34" s="85" t="s">
        <v>548</v>
      </c>
      <c r="B34" s="76">
        <v>184998</v>
      </c>
      <c r="C34" s="24">
        <f t="shared" si="7"/>
        <v>92499</v>
      </c>
      <c r="D34" s="76">
        <f t="shared" si="8"/>
        <v>-47174</v>
      </c>
      <c r="E34" s="76">
        <f t="shared" si="9"/>
        <v>45325</v>
      </c>
      <c r="F34" s="60"/>
      <c r="G34" s="92">
        <f t="shared" si="0"/>
        <v>9.4427083333333339</v>
      </c>
      <c r="H34" s="92">
        <f t="shared" si="3"/>
        <v>10.859114583333334</v>
      </c>
    </row>
    <row r="35" spans="1:8" ht="30">
      <c r="A35" s="85" t="s">
        <v>549</v>
      </c>
      <c r="B35" s="76">
        <v>170775</v>
      </c>
      <c r="C35" s="24">
        <f t="shared" si="7"/>
        <v>85387.5</v>
      </c>
      <c r="D35" s="76">
        <f t="shared" si="8"/>
        <v>-43548</v>
      </c>
      <c r="E35" s="76">
        <f t="shared" si="9"/>
        <v>41839.5</v>
      </c>
      <c r="F35" s="60"/>
      <c r="G35" s="92">
        <f t="shared" si="0"/>
        <v>8.7165625000000002</v>
      </c>
      <c r="H35" s="92">
        <f t="shared" si="3"/>
        <v>10.024046875</v>
      </c>
    </row>
    <row r="36" spans="1:8" ht="30">
      <c r="A36" s="85" t="s">
        <v>550</v>
      </c>
      <c r="B36" s="76">
        <v>519784.00000000006</v>
      </c>
      <c r="C36" s="24">
        <f t="shared" si="7"/>
        <v>259892.00000000003</v>
      </c>
      <c r="D36" s="76">
        <f t="shared" si="8"/>
        <v>-132545</v>
      </c>
      <c r="E36" s="76">
        <f t="shared" si="9"/>
        <v>127347.00000000003</v>
      </c>
      <c r="F36" s="60"/>
      <c r="G36" s="92">
        <f t="shared" si="0"/>
        <v>26.530625000000008</v>
      </c>
      <c r="H36" s="92">
        <f t="shared" si="3"/>
        <v>30.510218750000007</v>
      </c>
    </row>
    <row r="37" spans="1:8" ht="45">
      <c r="A37" s="85" t="s">
        <v>551</v>
      </c>
      <c r="B37" s="76">
        <v>587476.80000000005</v>
      </c>
      <c r="C37" s="24">
        <f t="shared" si="7"/>
        <v>293738.40000000002</v>
      </c>
      <c r="D37" s="76">
        <f t="shared" si="8"/>
        <v>-149807</v>
      </c>
      <c r="E37" s="76">
        <f t="shared" si="9"/>
        <v>143931.40000000002</v>
      </c>
      <c r="F37" s="60"/>
      <c r="G37" s="92">
        <f t="shared" si="0"/>
        <v>29.985708333333339</v>
      </c>
      <c r="H37" s="92">
        <f t="shared" si="3"/>
        <v>34.483564583333333</v>
      </c>
    </row>
    <row r="38" spans="1:8" ht="30">
      <c r="A38" s="85" t="s">
        <v>552</v>
      </c>
      <c r="B38" s="76">
        <v>360904.5</v>
      </c>
      <c r="C38" s="24">
        <f t="shared" si="7"/>
        <v>180452.25</v>
      </c>
      <c r="D38" s="76">
        <f t="shared" si="8"/>
        <v>-92031</v>
      </c>
      <c r="E38" s="76">
        <f t="shared" si="9"/>
        <v>88421.25</v>
      </c>
      <c r="F38" s="60"/>
      <c r="G38" s="92">
        <f t="shared" si="0"/>
        <v>18.421093750000001</v>
      </c>
      <c r="H38" s="92">
        <f t="shared" si="3"/>
        <v>21.1842578125</v>
      </c>
    </row>
    <row r="39" spans="1:8" ht="30">
      <c r="A39" s="85" t="s">
        <v>553</v>
      </c>
      <c r="B39" s="76">
        <v>547370.07429999998</v>
      </c>
      <c r="C39" s="24">
        <f t="shared" si="7"/>
        <v>273685.03714999999</v>
      </c>
      <c r="D39" s="76">
        <f t="shared" si="8"/>
        <v>-139579</v>
      </c>
      <c r="E39" s="76">
        <f t="shared" si="9"/>
        <v>134106.03714999999</v>
      </c>
      <c r="F39" s="60"/>
      <c r="G39" s="92">
        <f t="shared" si="0"/>
        <v>27.93875773958333</v>
      </c>
      <c r="H39" s="92">
        <f t="shared" si="3"/>
        <v>32.129571400520831</v>
      </c>
    </row>
    <row r="40" spans="1:8" ht="30">
      <c r="A40" s="85" t="s">
        <v>554</v>
      </c>
      <c r="B40" s="76">
        <v>996187.41539999994</v>
      </c>
      <c r="C40" s="24">
        <f t="shared" si="7"/>
        <v>498093.70769999997</v>
      </c>
      <c r="D40" s="76">
        <f t="shared" si="8"/>
        <v>-254028</v>
      </c>
      <c r="E40" s="76">
        <f t="shared" si="9"/>
        <v>244065.70769999997</v>
      </c>
      <c r="F40" s="60"/>
      <c r="G40" s="92">
        <f t="shared" ref="G40:G71" si="10">E40/F$94</f>
        <v>50.847022437499994</v>
      </c>
      <c r="H40" s="92">
        <f t="shared" si="3"/>
        <v>58.47407580312499</v>
      </c>
    </row>
    <row r="41" spans="1:8" ht="30">
      <c r="A41" s="85" t="s">
        <v>555</v>
      </c>
      <c r="B41" s="76">
        <v>1964399.9999999998</v>
      </c>
      <c r="C41" s="24">
        <f t="shared" si="7"/>
        <v>982199.99999999988</v>
      </c>
      <c r="D41" s="76">
        <f t="shared" si="8"/>
        <v>-500922</v>
      </c>
      <c r="E41" s="76">
        <f t="shared" si="9"/>
        <v>481277.99999999988</v>
      </c>
      <c r="F41" s="60"/>
      <c r="G41" s="92">
        <f t="shared" si="10"/>
        <v>100.26624999999997</v>
      </c>
      <c r="H41" s="92">
        <f t="shared" si="3"/>
        <v>115.30618749999996</v>
      </c>
    </row>
    <row r="42" spans="1:8" ht="30">
      <c r="A42" s="85" t="s">
        <v>556</v>
      </c>
      <c r="B42" s="76">
        <v>485354.71920000005</v>
      </c>
      <c r="C42" s="24">
        <f t="shared" si="7"/>
        <v>242677.35960000003</v>
      </c>
      <c r="D42" s="76">
        <f t="shared" si="8"/>
        <v>-123765</v>
      </c>
      <c r="E42" s="76">
        <f t="shared" si="9"/>
        <v>118912.35960000003</v>
      </c>
      <c r="F42" s="60"/>
      <c r="G42" s="92">
        <f t="shared" si="10"/>
        <v>24.773408250000006</v>
      </c>
      <c r="H42" s="92">
        <f t="shared" si="3"/>
        <v>28.489419487500005</v>
      </c>
    </row>
    <row r="43" spans="1:8" ht="30">
      <c r="A43" s="85" t="s">
        <v>557</v>
      </c>
      <c r="B43" s="76">
        <v>471016.46549999999</v>
      </c>
      <c r="C43" s="24">
        <f t="shared" si="7"/>
        <v>235508.23275</v>
      </c>
      <c r="D43" s="76">
        <f t="shared" si="8"/>
        <v>-120109</v>
      </c>
      <c r="E43" s="76">
        <f t="shared" si="9"/>
        <v>115399.23275</v>
      </c>
      <c r="F43" s="60"/>
      <c r="G43" s="92">
        <f t="shared" si="10"/>
        <v>24.041506822916666</v>
      </c>
      <c r="H43" s="92">
        <f t="shared" si="3"/>
        <v>27.647732846354163</v>
      </c>
    </row>
    <row r="44" spans="1:8" ht="30">
      <c r="A44" s="85" t="s">
        <v>558</v>
      </c>
      <c r="B44" s="76">
        <v>434327.2488</v>
      </c>
      <c r="C44" s="24">
        <f t="shared" si="7"/>
        <v>217163.6244</v>
      </c>
      <c r="D44" s="76">
        <f t="shared" si="8"/>
        <v>-110753</v>
      </c>
      <c r="E44" s="76">
        <f t="shared" si="9"/>
        <v>106410.6244</v>
      </c>
      <c r="F44" s="60"/>
      <c r="G44" s="92">
        <f t="shared" si="10"/>
        <v>22.168880083333335</v>
      </c>
      <c r="H44" s="92">
        <f t="shared" si="3"/>
        <v>25.494212095833333</v>
      </c>
    </row>
    <row r="45" spans="1:8" ht="30">
      <c r="A45" s="85" t="s">
        <v>559</v>
      </c>
      <c r="B45" s="76">
        <v>680094.43920000002</v>
      </c>
      <c r="C45" s="24">
        <f t="shared" si="7"/>
        <v>340047.21960000001</v>
      </c>
      <c r="D45" s="76">
        <f t="shared" si="8"/>
        <v>-173424</v>
      </c>
      <c r="E45" s="76">
        <f t="shared" si="9"/>
        <v>166623.21960000001</v>
      </c>
      <c r="F45" s="60"/>
      <c r="G45" s="92">
        <f t="shared" si="10"/>
        <v>34.713170750000003</v>
      </c>
      <c r="H45" s="92">
        <f t="shared" si="3"/>
        <v>39.920146362499999</v>
      </c>
    </row>
    <row r="46" spans="1:8" ht="45">
      <c r="A46" s="85" t="s">
        <v>560</v>
      </c>
      <c r="B46" s="76">
        <v>858830.00000000012</v>
      </c>
      <c r="C46" s="24">
        <f t="shared" si="7"/>
        <v>429415.00000000006</v>
      </c>
      <c r="D46" s="76">
        <f t="shared" si="8"/>
        <v>-219002</v>
      </c>
      <c r="E46" s="76">
        <f t="shared" si="9"/>
        <v>210413.00000000006</v>
      </c>
      <c r="F46" s="60"/>
      <c r="G46" s="92">
        <f t="shared" si="10"/>
        <v>43.836041666666681</v>
      </c>
      <c r="H46" s="92">
        <f t="shared" si="3"/>
        <v>50.411447916666681</v>
      </c>
    </row>
    <row r="47" spans="1:8" ht="30">
      <c r="A47" s="85" t="s">
        <v>561</v>
      </c>
      <c r="B47" s="76">
        <v>1638199.8215000001</v>
      </c>
      <c r="C47" s="24">
        <f t="shared" si="7"/>
        <v>819099.91075000004</v>
      </c>
      <c r="D47" s="76">
        <f t="shared" si="8"/>
        <v>-417741</v>
      </c>
      <c r="E47" s="76">
        <f t="shared" si="9"/>
        <v>401358.91075000004</v>
      </c>
      <c r="F47" s="60"/>
      <c r="G47" s="92">
        <f t="shared" si="10"/>
        <v>83.616439739583342</v>
      </c>
      <c r="H47" s="92">
        <f t="shared" si="3"/>
        <v>96.158905700520833</v>
      </c>
    </row>
    <row r="48" spans="1:8" ht="45">
      <c r="A48" s="85" t="s">
        <v>551</v>
      </c>
      <c r="B48" s="76">
        <v>218142.82</v>
      </c>
      <c r="C48" s="24">
        <f t="shared" si="7"/>
        <v>109071.41</v>
      </c>
      <c r="D48" s="76">
        <f t="shared" si="8"/>
        <v>-55626</v>
      </c>
      <c r="E48" s="76">
        <f t="shared" si="9"/>
        <v>53445.41</v>
      </c>
      <c r="F48" s="60"/>
      <c r="G48" s="92">
        <f t="shared" si="10"/>
        <v>11.134460416666668</v>
      </c>
      <c r="H48" s="92">
        <f t="shared" si="3"/>
        <v>12.804629479166667</v>
      </c>
    </row>
    <row r="49" spans="1:8" ht="30">
      <c r="A49" s="85" t="s">
        <v>562</v>
      </c>
      <c r="B49" s="76">
        <v>184035.00000000003</v>
      </c>
      <c r="C49" s="24">
        <f t="shared" si="7"/>
        <v>92017.500000000015</v>
      </c>
      <c r="D49" s="76">
        <f t="shared" si="8"/>
        <v>-46929</v>
      </c>
      <c r="E49" s="76">
        <f t="shared" si="9"/>
        <v>45088.500000000015</v>
      </c>
      <c r="F49" s="60"/>
      <c r="G49" s="92">
        <f t="shared" si="10"/>
        <v>9.3934375000000028</v>
      </c>
      <c r="H49" s="92">
        <f t="shared" si="3"/>
        <v>10.802453125000003</v>
      </c>
    </row>
    <row r="50" spans="1:8" ht="30">
      <c r="A50" s="85" t="s">
        <v>563</v>
      </c>
      <c r="B50" s="76">
        <v>1963040.0000000002</v>
      </c>
      <c r="C50" s="24">
        <f t="shared" si="7"/>
        <v>981520.00000000012</v>
      </c>
      <c r="D50" s="76">
        <f t="shared" si="8"/>
        <v>-500575</v>
      </c>
      <c r="E50" s="76">
        <f t="shared" si="9"/>
        <v>480945.00000000012</v>
      </c>
      <c r="F50" s="60"/>
      <c r="G50" s="92">
        <f t="shared" si="10"/>
        <v>100.19687500000002</v>
      </c>
      <c r="H50" s="92">
        <f t="shared" si="3"/>
        <v>115.22640625000001</v>
      </c>
    </row>
    <row r="51" spans="1:8" ht="30">
      <c r="A51" s="85" t="s">
        <v>564</v>
      </c>
      <c r="B51" s="76">
        <v>981520.00000000012</v>
      </c>
      <c r="C51" s="24">
        <f t="shared" si="7"/>
        <v>490760.00000000006</v>
      </c>
      <c r="D51" s="76">
        <f t="shared" si="8"/>
        <v>-250288</v>
      </c>
      <c r="E51" s="76">
        <f t="shared" si="9"/>
        <v>240472.00000000006</v>
      </c>
      <c r="F51" s="60"/>
      <c r="G51" s="92">
        <f t="shared" si="10"/>
        <v>50.098333333333343</v>
      </c>
      <c r="H51" s="92">
        <f t="shared" si="3"/>
        <v>57.613083333333343</v>
      </c>
    </row>
    <row r="52" spans="1:8">
      <c r="A52" s="60" t="s">
        <v>162</v>
      </c>
      <c r="B52" s="24">
        <v>539974</v>
      </c>
      <c r="C52" s="24">
        <f t="shared" ref="C52:C54" si="11">B52*0.5</f>
        <v>269987</v>
      </c>
      <c r="D52" s="24">
        <f t="shared" si="1"/>
        <v>-137693</v>
      </c>
      <c r="E52" s="93">
        <f t="shared" si="2"/>
        <v>132294</v>
      </c>
      <c r="F52" s="60"/>
      <c r="G52" s="92">
        <f t="shared" si="10"/>
        <v>27.561250000000001</v>
      </c>
      <c r="H52" s="92">
        <f t="shared" si="3"/>
        <v>31.695437500000001</v>
      </c>
    </row>
    <row r="53" spans="1:8">
      <c r="A53" s="60" t="s">
        <v>163</v>
      </c>
      <c r="B53" s="24">
        <v>876456</v>
      </c>
      <c r="C53" s="24">
        <f t="shared" si="11"/>
        <v>438228</v>
      </c>
      <c r="D53" s="24">
        <f t="shared" si="1"/>
        <v>-223496</v>
      </c>
      <c r="E53" s="93">
        <f t="shared" si="2"/>
        <v>214732</v>
      </c>
      <c r="F53" s="60"/>
      <c r="G53" s="92">
        <f t="shared" si="10"/>
        <v>44.735833333333332</v>
      </c>
      <c r="H53" s="92">
        <f t="shared" si="3"/>
        <v>51.446208333333331</v>
      </c>
    </row>
    <row r="54" spans="1:8">
      <c r="A54" s="60" t="s">
        <v>428</v>
      </c>
      <c r="B54" s="24">
        <v>2153200</v>
      </c>
      <c r="C54" s="24">
        <f t="shared" si="11"/>
        <v>1076600</v>
      </c>
      <c r="D54" s="24">
        <f t="shared" si="1"/>
        <v>-549066</v>
      </c>
      <c r="E54" s="93">
        <f t="shared" si="2"/>
        <v>527534</v>
      </c>
      <c r="F54" s="60"/>
      <c r="G54" s="92">
        <f t="shared" si="10"/>
        <v>109.90291666666667</v>
      </c>
      <c r="H54" s="92">
        <f t="shared" si="3"/>
        <v>126.38835416666666</v>
      </c>
    </row>
    <row r="55" spans="1:8">
      <c r="A55" s="60" t="s">
        <v>340</v>
      </c>
      <c r="B55" s="24">
        <v>309600</v>
      </c>
      <c r="C55" s="24">
        <f>B55*0.8</f>
        <v>247680</v>
      </c>
      <c r="D55" s="24">
        <f t="shared" si="1"/>
        <v>-126317</v>
      </c>
      <c r="E55" s="93">
        <f t="shared" si="2"/>
        <v>121363</v>
      </c>
      <c r="F55" s="60"/>
      <c r="G55" s="92">
        <f t="shared" si="10"/>
        <v>25.283958333333334</v>
      </c>
      <c r="H55" s="92">
        <f t="shared" si="3"/>
        <v>29.076552083333333</v>
      </c>
    </row>
    <row r="56" spans="1:8" ht="30">
      <c r="A56" s="85" t="s">
        <v>287</v>
      </c>
      <c r="B56" s="24">
        <v>369996</v>
      </c>
      <c r="C56" s="24">
        <f>0.2*B56</f>
        <v>73999.199999999997</v>
      </c>
      <c r="D56" s="24">
        <f t="shared" si="1"/>
        <v>-37740</v>
      </c>
      <c r="E56" s="93">
        <f t="shared" si="2"/>
        <v>36259.199999999997</v>
      </c>
      <c r="F56" s="60"/>
      <c r="G56" s="92">
        <f t="shared" si="10"/>
        <v>7.5539999999999994</v>
      </c>
      <c r="H56" s="92">
        <f t="shared" si="3"/>
        <v>8.6870999999999992</v>
      </c>
    </row>
    <row r="57" spans="1:8">
      <c r="A57" s="85" t="s">
        <v>327</v>
      </c>
      <c r="B57" s="24">
        <v>2326150</v>
      </c>
      <c r="C57" s="24">
        <f>B57*0.8</f>
        <v>1860920</v>
      </c>
      <c r="D57" s="24">
        <f t="shared" si="1"/>
        <v>-949069</v>
      </c>
      <c r="E57" s="93">
        <f t="shared" si="2"/>
        <v>911851</v>
      </c>
      <c r="F57" s="60"/>
      <c r="G57" s="92">
        <f t="shared" si="10"/>
        <v>189.96895833333335</v>
      </c>
      <c r="H57" s="92">
        <f t="shared" si="3"/>
        <v>218.46430208333334</v>
      </c>
    </row>
    <row r="58" spans="1:8" ht="30">
      <c r="A58" s="85" t="s">
        <v>328</v>
      </c>
      <c r="B58" s="24">
        <v>2665075</v>
      </c>
      <c r="C58" s="24">
        <f>B58*0.5</f>
        <v>1332537.5</v>
      </c>
      <c r="D58" s="24">
        <f t="shared" si="1"/>
        <v>-679594</v>
      </c>
      <c r="E58" s="93">
        <f t="shared" ref="E58:E76" si="12">SUM(C58:D58)</f>
        <v>652943.5</v>
      </c>
      <c r="F58" s="60"/>
      <c r="G58" s="92">
        <f t="shared" si="10"/>
        <v>136.02989583333334</v>
      </c>
      <c r="H58" s="92">
        <f t="shared" si="3"/>
        <v>156.43438020833332</v>
      </c>
    </row>
    <row r="59" spans="1:8" ht="30">
      <c r="A59" s="85" t="s">
        <v>328</v>
      </c>
      <c r="B59" s="24">
        <v>3436400</v>
      </c>
      <c r="C59" s="24">
        <f>B59*0.5</f>
        <v>1718200</v>
      </c>
      <c r="D59" s="24">
        <f>-ROUND(C59*0.66,0)</f>
        <v>-1134012</v>
      </c>
      <c r="E59" s="93">
        <f t="shared" si="12"/>
        <v>584188</v>
      </c>
      <c r="F59" s="60"/>
      <c r="G59" s="92">
        <f t="shared" si="10"/>
        <v>121.70583333333333</v>
      </c>
      <c r="H59" s="92">
        <f t="shared" si="3"/>
        <v>139.96170833333332</v>
      </c>
    </row>
    <row r="60" spans="1:8" ht="30">
      <c r="A60" s="85" t="s">
        <v>430</v>
      </c>
      <c r="B60" s="24">
        <v>2012900</v>
      </c>
      <c r="C60" s="24">
        <f>B60*0.5</f>
        <v>1006450</v>
      </c>
      <c r="D60" s="24">
        <f t="shared" ref="D60" si="13">-ROUND(C60*0.51,0)</f>
        <v>-513290</v>
      </c>
      <c r="E60" s="93">
        <f t="shared" si="12"/>
        <v>493160</v>
      </c>
      <c r="F60" s="60"/>
      <c r="G60" s="92">
        <f t="shared" si="10"/>
        <v>102.74166666666666</v>
      </c>
      <c r="H60" s="92">
        <f t="shared" si="3"/>
        <v>118.15291666666666</v>
      </c>
    </row>
    <row r="61" spans="1:8">
      <c r="A61" s="85" t="s">
        <v>431</v>
      </c>
      <c r="B61" s="24">
        <v>1342000</v>
      </c>
      <c r="C61" s="24">
        <f>B61*0.2</f>
        <v>268400</v>
      </c>
      <c r="D61" s="24">
        <f t="shared" ref="D61" si="14">-ROUND(C61*0.51,0)</f>
        <v>-136884</v>
      </c>
      <c r="E61" s="93">
        <f t="shared" si="12"/>
        <v>131516</v>
      </c>
      <c r="F61" s="60"/>
      <c r="G61" s="92">
        <f t="shared" si="10"/>
        <v>27.399166666666666</v>
      </c>
      <c r="H61" s="92">
        <f t="shared" si="3"/>
        <v>31.509041666666665</v>
      </c>
    </row>
    <row r="62" spans="1:8">
      <c r="A62" s="85" t="s">
        <v>432</v>
      </c>
      <c r="B62" s="24">
        <v>1166510</v>
      </c>
      <c r="C62" s="24">
        <f>B62*0.2</f>
        <v>233302</v>
      </c>
      <c r="D62" s="24">
        <f t="shared" ref="D62" si="15">-ROUND(C62*0.51,0)</f>
        <v>-118984</v>
      </c>
      <c r="E62" s="93">
        <f t="shared" si="12"/>
        <v>114318</v>
      </c>
      <c r="F62" s="60"/>
      <c r="G62" s="92">
        <f t="shared" si="10"/>
        <v>23.81625</v>
      </c>
      <c r="H62" s="92">
        <f t="shared" si="3"/>
        <v>27.3886875</v>
      </c>
    </row>
    <row r="63" spans="1:8" ht="30">
      <c r="A63" s="85" t="s">
        <v>433</v>
      </c>
      <c r="B63" s="24">
        <v>220000</v>
      </c>
      <c r="C63" s="24">
        <f t="shared" ref="C63:C68" si="16">B63*0.5</f>
        <v>110000</v>
      </c>
      <c r="D63" s="24">
        <f t="shared" ref="D63" si="17">-ROUND(C63*0.51,0)</f>
        <v>-56100</v>
      </c>
      <c r="E63" s="93">
        <f t="shared" si="12"/>
        <v>53900</v>
      </c>
      <c r="F63" s="60"/>
      <c r="G63" s="92">
        <f t="shared" si="10"/>
        <v>11.229166666666666</v>
      </c>
      <c r="H63" s="92">
        <f t="shared" si="3"/>
        <v>12.913541666666665</v>
      </c>
    </row>
    <row r="64" spans="1:8">
      <c r="A64" s="85" t="s">
        <v>434</v>
      </c>
      <c r="B64" s="24">
        <v>12971350</v>
      </c>
      <c r="C64" s="24">
        <f t="shared" si="16"/>
        <v>6485675</v>
      </c>
      <c r="D64" s="24">
        <f t="shared" ref="D64" si="18">-ROUND(C64*0.51,0)</f>
        <v>-3307694</v>
      </c>
      <c r="E64" s="93">
        <f t="shared" si="12"/>
        <v>3177981</v>
      </c>
      <c r="F64" s="60"/>
      <c r="G64" s="92">
        <f t="shared" si="10"/>
        <v>662.07937500000003</v>
      </c>
      <c r="H64" s="92">
        <f t="shared" si="3"/>
        <v>761.39128125000002</v>
      </c>
    </row>
    <row r="65" spans="1:8" ht="30">
      <c r="A65" s="85" t="s">
        <v>435</v>
      </c>
      <c r="B65" s="24">
        <v>1760760</v>
      </c>
      <c r="C65" s="24">
        <f t="shared" si="16"/>
        <v>880380</v>
      </c>
      <c r="D65" s="24">
        <f t="shared" ref="D65:D66" si="19">-ROUND(C65*0.51,0)</f>
        <v>-448994</v>
      </c>
      <c r="E65" s="93">
        <f t="shared" si="12"/>
        <v>431386</v>
      </c>
      <c r="F65" s="60"/>
      <c r="G65" s="92">
        <f t="shared" si="10"/>
        <v>89.872083333333336</v>
      </c>
      <c r="H65" s="92">
        <f t="shared" si="3"/>
        <v>103.35289583333333</v>
      </c>
    </row>
    <row r="66" spans="1:8" ht="45">
      <c r="A66" s="85" t="s">
        <v>436</v>
      </c>
      <c r="B66" s="24">
        <v>525000</v>
      </c>
      <c r="C66" s="24">
        <f t="shared" si="16"/>
        <v>262500</v>
      </c>
      <c r="D66" s="24">
        <f t="shared" si="19"/>
        <v>-133875</v>
      </c>
      <c r="E66" s="93">
        <f t="shared" si="12"/>
        <v>128625</v>
      </c>
      <c r="F66" s="60"/>
      <c r="G66" s="92">
        <f t="shared" si="10"/>
        <v>26.796875</v>
      </c>
      <c r="H66" s="92">
        <f t="shared" si="3"/>
        <v>30.816406249999996</v>
      </c>
    </row>
    <row r="67" spans="1:8">
      <c r="A67" s="85" t="s">
        <v>437</v>
      </c>
      <c r="B67" s="24">
        <v>784840</v>
      </c>
      <c r="C67" s="24">
        <f t="shared" si="16"/>
        <v>392420</v>
      </c>
      <c r="D67" s="24">
        <f t="shared" ref="D67" si="20">-ROUND(C67*0.51,0)</f>
        <v>-200134</v>
      </c>
      <c r="E67" s="93">
        <f t="shared" si="12"/>
        <v>192286</v>
      </c>
      <c r="F67" s="60"/>
      <c r="G67" s="92">
        <f t="shared" si="10"/>
        <v>40.059583333333336</v>
      </c>
      <c r="H67" s="92">
        <f t="shared" si="3"/>
        <v>46.068520833333331</v>
      </c>
    </row>
    <row r="68" spans="1:8">
      <c r="A68" s="85" t="s">
        <v>438</v>
      </c>
      <c r="B68" s="24">
        <v>1308120</v>
      </c>
      <c r="C68" s="24">
        <f t="shared" si="16"/>
        <v>654060</v>
      </c>
      <c r="D68" s="24">
        <f t="shared" ref="D68" si="21">-ROUND(C68*0.51,0)</f>
        <v>-333571</v>
      </c>
      <c r="E68" s="93">
        <f t="shared" si="12"/>
        <v>320489</v>
      </c>
      <c r="F68" s="60"/>
      <c r="G68" s="92">
        <f t="shared" si="10"/>
        <v>66.768541666666664</v>
      </c>
      <c r="H68" s="92">
        <f t="shared" si="3"/>
        <v>76.783822916666651</v>
      </c>
    </row>
    <row r="69" spans="1:8">
      <c r="A69" s="85" t="s">
        <v>439</v>
      </c>
      <c r="B69" s="24">
        <v>170775</v>
      </c>
      <c r="C69" s="24">
        <f t="shared" ref="C69:C75" si="22">B69*0.2</f>
        <v>34155</v>
      </c>
      <c r="D69" s="24">
        <f t="shared" ref="D69" si="23">-ROUND(C69*0.51,0)</f>
        <v>-17419</v>
      </c>
      <c r="E69" s="93">
        <f t="shared" si="12"/>
        <v>16736</v>
      </c>
      <c r="F69" s="60"/>
      <c r="G69" s="92">
        <f t="shared" si="10"/>
        <v>3.4866666666666668</v>
      </c>
      <c r="H69" s="92">
        <f t="shared" si="3"/>
        <v>4.0096666666666669</v>
      </c>
    </row>
    <row r="70" spans="1:8">
      <c r="A70" s="85" t="s">
        <v>440</v>
      </c>
      <c r="B70" s="24">
        <v>184998</v>
      </c>
      <c r="C70" s="24">
        <f t="shared" si="22"/>
        <v>36999.599999999999</v>
      </c>
      <c r="D70" s="24">
        <f t="shared" ref="D70" si="24">-ROUND(C70*0.51,0)</f>
        <v>-18870</v>
      </c>
      <c r="E70" s="93">
        <f t="shared" si="12"/>
        <v>18129.599999999999</v>
      </c>
      <c r="F70" s="60"/>
      <c r="G70" s="92">
        <f t="shared" si="10"/>
        <v>3.7769999999999997</v>
      </c>
      <c r="H70" s="92">
        <f t="shared" si="3"/>
        <v>4.3435499999999996</v>
      </c>
    </row>
    <row r="71" spans="1:8">
      <c r="A71" s="85" t="s">
        <v>441</v>
      </c>
      <c r="B71" s="24">
        <v>180659</v>
      </c>
      <c r="C71" s="24">
        <f t="shared" si="22"/>
        <v>36131.800000000003</v>
      </c>
      <c r="D71" s="24">
        <f t="shared" ref="D71:D76" si="25">-ROUND(C71*0.51,0)</f>
        <v>-18427</v>
      </c>
      <c r="E71" s="93">
        <f t="shared" si="12"/>
        <v>17704.800000000003</v>
      </c>
      <c r="F71" s="60"/>
      <c r="G71" s="92">
        <f t="shared" si="10"/>
        <v>3.6885000000000008</v>
      </c>
      <c r="H71" s="92">
        <f t="shared" si="3"/>
        <v>4.2417750000000005</v>
      </c>
    </row>
    <row r="72" spans="1:8">
      <c r="A72" s="85" t="s">
        <v>442</v>
      </c>
      <c r="B72" s="24">
        <v>429713</v>
      </c>
      <c r="C72" s="24">
        <f t="shared" si="22"/>
        <v>85942.6</v>
      </c>
      <c r="D72" s="24">
        <f t="shared" si="25"/>
        <v>-43831</v>
      </c>
      <c r="E72" s="93">
        <f t="shared" si="12"/>
        <v>42111.600000000006</v>
      </c>
      <c r="F72" s="60"/>
      <c r="G72" s="92">
        <f t="shared" ref="G72" si="26">E72/F$94</f>
        <v>8.7732500000000009</v>
      </c>
      <c r="H72" s="92">
        <f t="shared" si="3"/>
        <v>10.089237499999999</v>
      </c>
    </row>
    <row r="73" spans="1:8" ht="30">
      <c r="A73" s="85" t="s">
        <v>443</v>
      </c>
      <c r="B73" s="24">
        <v>896960</v>
      </c>
      <c r="C73" s="24">
        <f t="shared" si="22"/>
        <v>179392</v>
      </c>
      <c r="D73" s="24">
        <f t="shared" si="25"/>
        <v>-91490</v>
      </c>
      <c r="E73" s="93">
        <f t="shared" si="12"/>
        <v>87902</v>
      </c>
      <c r="F73" s="60"/>
      <c r="G73" s="92">
        <f t="shared" ref="G73:G92" si="27">E73/F$94</f>
        <v>18.312916666666666</v>
      </c>
      <c r="H73" s="92">
        <f t="shared" ref="H73:H92" si="28">G73*1.15</f>
        <v>21.059854166666664</v>
      </c>
    </row>
    <row r="74" spans="1:8">
      <c r="A74" s="85" t="s">
        <v>444</v>
      </c>
      <c r="B74" s="24">
        <v>1134900</v>
      </c>
      <c r="C74" s="24">
        <f t="shared" si="22"/>
        <v>226980</v>
      </c>
      <c r="D74" s="24">
        <f t="shared" si="25"/>
        <v>-115760</v>
      </c>
      <c r="E74" s="93">
        <f t="shared" si="12"/>
        <v>111220</v>
      </c>
      <c r="F74" s="60"/>
      <c r="G74" s="92">
        <f t="shared" si="27"/>
        <v>23.170833333333334</v>
      </c>
      <c r="H74" s="92">
        <f t="shared" si="28"/>
        <v>26.646458333333332</v>
      </c>
    </row>
    <row r="75" spans="1:8">
      <c r="A75" s="85" t="s">
        <v>493</v>
      </c>
      <c r="B75" s="24">
        <v>2695560</v>
      </c>
      <c r="C75" s="24">
        <f t="shared" si="22"/>
        <v>539112</v>
      </c>
      <c r="D75" s="24">
        <f t="shared" si="25"/>
        <v>-274947</v>
      </c>
      <c r="E75" s="93">
        <f t="shared" si="12"/>
        <v>264165</v>
      </c>
      <c r="F75" s="60"/>
      <c r="G75" s="92">
        <f t="shared" si="27"/>
        <v>55.034374999999997</v>
      </c>
      <c r="H75" s="92">
        <f t="shared" si="28"/>
        <v>63.289531249999989</v>
      </c>
    </row>
    <row r="76" spans="1:8">
      <c r="A76" s="60" t="s">
        <v>569</v>
      </c>
      <c r="B76" s="24">
        <v>7828355</v>
      </c>
      <c r="C76" s="49">
        <f>B76*0.1</f>
        <v>782835.5</v>
      </c>
      <c r="D76" s="24">
        <f t="shared" si="25"/>
        <v>-399246</v>
      </c>
      <c r="E76" s="93">
        <f t="shared" si="12"/>
        <v>383589.5</v>
      </c>
      <c r="F76" s="60"/>
      <c r="G76" s="92">
        <f t="shared" si="27"/>
        <v>79.914479166666666</v>
      </c>
      <c r="H76" s="92">
        <f t="shared" si="28"/>
        <v>91.901651041666653</v>
      </c>
    </row>
    <row r="77" spans="1:8">
      <c r="A77" s="60"/>
      <c r="B77" s="24"/>
      <c r="C77" s="24"/>
      <c r="D77" s="24"/>
      <c r="E77" s="93"/>
      <c r="F77" s="60"/>
      <c r="G77" s="92">
        <f t="shared" si="27"/>
        <v>0</v>
      </c>
      <c r="H77" s="92">
        <f t="shared" si="28"/>
        <v>0</v>
      </c>
    </row>
    <row r="78" spans="1:8">
      <c r="A78" s="62" t="s">
        <v>15</v>
      </c>
      <c r="B78" s="24"/>
      <c r="C78" s="24"/>
      <c r="D78" s="60"/>
      <c r="E78" s="93">
        <f t="shared" si="2"/>
        <v>0</v>
      </c>
      <c r="F78" s="60"/>
      <c r="G78" s="92">
        <f t="shared" si="27"/>
        <v>0</v>
      </c>
      <c r="H78" s="92">
        <f t="shared" si="28"/>
        <v>0</v>
      </c>
    </row>
    <row r="79" spans="1:8">
      <c r="G79" s="92">
        <f t="shared" si="27"/>
        <v>0</v>
      </c>
      <c r="H79" s="92">
        <f t="shared" si="28"/>
        <v>0</v>
      </c>
    </row>
    <row r="80" spans="1:8">
      <c r="A80" s="60" t="s">
        <v>164</v>
      </c>
      <c r="B80" s="24">
        <v>514600</v>
      </c>
      <c r="C80" s="24">
        <f>0.8*B80</f>
        <v>411680</v>
      </c>
      <c r="D80" s="60"/>
      <c r="E80" s="93">
        <f t="shared" si="2"/>
        <v>411680</v>
      </c>
      <c r="F80" s="60"/>
      <c r="G80" s="92">
        <f t="shared" si="27"/>
        <v>85.766666666666666</v>
      </c>
      <c r="H80" s="92">
        <f t="shared" si="28"/>
        <v>98.631666666666661</v>
      </c>
    </row>
    <row r="81" spans="1:8" ht="30">
      <c r="A81" s="85" t="s">
        <v>144</v>
      </c>
      <c r="B81" s="24">
        <v>2617560</v>
      </c>
      <c r="C81" s="24">
        <f>B81*0.5</f>
        <v>1308780</v>
      </c>
      <c r="D81" s="60"/>
      <c r="E81" s="93">
        <f t="shared" si="2"/>
        <v>1308780</v>
      </c>
      <c r="F81" s="60"/>
      <c r="G81" s="92">
        <f t="shared" si="27"/>
        <v>272.66250000000002</v>
      </c>
      <c r="H81" s="92">
        <f t="shared" si="28"/>
        <v>313.56187499999999</v>
      </c>
    </row>
    <row r="82" spans="1:8">
      <c r="A82" s="85" t="s">
        <v>445</v>
      </c>
      <c r="B82" s="24">
        <v>4548335</v>
      </c>
      <c r="C82" s="24">
        <f>B82*0.5</f>
        <v>2274167.5</v>
      </c>
      <c r="D82" s="60"/>
      <c r="E82" s="93">
        <f t="shared" ref="E82" si="29">SUM(C82:D82)</f>
        <v>2274167.5</v>
      </c>
      <c r="F82" s="60"/>
      <c r="G82" s="92">
        <f t="shared" si="27"/>
        <v>473.78489583333334</v>
      </c>
      <c r="H82" s="92">
        <f t="shared" si="28"/>
        <v>544.85263020833327</v>
      </c>
    </row>
    <row r="83" spans="1:8">
      <c r="A83" s="85" t="s">
        <v>446</v>
      </c>
      <c r="B83" s="24">
        <v>2650563</v>
      </c>
      <c r="C83" s="24">
        <f>B83*1</f>
        <v>2650563</v>
      </c>
      <c r="D83" s="60"/>
      <c r="E83" s="93">
        <f t="shared" ref="E83" si="30">SUM(C83:D83)</f>
        <v>2650563</v>
      </c>
      <c r="F83" s="60"/>
      <c r="G83" s="92">
        <f t="shared" si="27"/>
        <v>552.20062499999995</v>
      </c>
      <c r="H83" s="92">
        <f t="shared" si="28"/>
        <v>635.03071874999989</v>
      </c>
    </row>
    <row r="84" spans="1:8">
      <c r="A84" s="85" t="s">
        <v>447</v>
      </c>
      <c r="B84" s="24">
        <v>682560</v>
      </c>
      <c r="C84" s="24">
        <f>B84*1</f>
        <v>682560</v>
      </c>
      <c r="D84" s="60"/>
      <c r="E84" s="93">
        <f>SUM(C84:D84)</f>
        <v>682560</v>
      </c>
      <c r="F84" s="60"/>
      <c r="G84" s="92">
        <f t="shared" si="27"/>
        <v>142.19999999999999</v>
      </c>
      <c r="H84" s="92">
        <f t="shared" si="28"/>
        <v>163.52999999999997</v>
      </c>
    </row>
    <row r="85" spans="1:8">
      <c r="A85" s="85" t="s">
        <v>448</v>
      </c>
      <c r="B85" s="24">
        <v>268200</v>
      </c>
      <c r="C85" s="24">
        <f>B85*1</f>
        <v>268200</v>
      </c>
      <c r="D85" s="60"/>
      <c r="E85" s="93">
        <f t="shared" ref="E85" si="31">SUM(C85:D85)</f>
        <v>268200</v>
      </c>
      <c r="F85" s="60"/>
      <c r="G85" s="92">
        <f t="shared" si="27"/>
        <v>55.875</v>
      </c>
      <c r="H85" s="92">
        <f t="shared" si="28"/>
        <v>64.256249999999994</v>
      </c>
    </row>
    <row r="86" spans="1:8">
      <c r="A86" s="85" t="s">
        <v>449</v>
      </c>
      <c r="B86" s="24">
        <v>766525</v>
      </c>
      <c r="C86" s="24">
        <f>B86*1</f>
        <v>766525</v>
      </c>
      <c r="D86" s="60"/>
      <c r="E86" s="93">
        <f t="shared" ref="E86:E87" si="32">SUM(C86:D86)</f>
        <v>766525</v>
      </c>
      <c r="F86" s="60"/>
      <c r="G86" s="92">
        <f t="shared" si="27"/>
        <v>159.69270833333334</v>
      </c>
      <c r="H86" s="92">
        <f t="shared" si="28"/>
        <v>183.64661458333333</v>
      </c>
    </row>
    <row r="87" spans="1:8">
      <c r="A87" s="85" t="s">
        <v>450</v>
      </c>
      <c r="B87" s="24">
        <v>517500</v>
      </c>
      <c r="C87" s="24">
        <f>B87*1</f>
        <v>517500</v>
      </c>
      <c r="D87" s="60"/>
      <c r="E87" s="93">
        <f t="shared" si="32"/>
        <v>517500</v>
      </c>
      <c r="F87" s="60"/>
      <c r="G87" s="92">
        <f t="shared" si="27"/>
        <v>107.8125</v>
      </c>
      <c r="H87" s="92">
        <f t="shared" si="28"/>
        <v>123.98437499999999</v>
      </c>
    </row>
    <row r="88" spans="1:8">
      <c r="A88" s="60" t="s">
        <v>491</v>
      </c>
      <c r="B88" s="24">
        <v>2163400</v>
      </c>
      <c r="C88" s="24">
        <f>B88*0.5</f>
        <v>1081700</v>
      </c>
      <c r="D88" s="60"/>
      <c r="E88" s="93">
        <f t="shared" si="2"/>
        <v>1081700</v>
      </c>
      <c r="F88" s="60"/>
      <c r="G88" s="92">
        <f t="shared" si="27"/>
        <v>225.35416666666666</v>
      </c>
      <c r="H88" s="92">
        <f t="shared" si="28"/>
        <v>259.15729166666665</v>
      </c>
    </row>
    <row r="89" spans="1:8">
      <c r="A89" s="60" t="s">
        <v>492</v>
      </c>
      <c r="B89" s="24">
        <v>976000</v>
      </c>
      <c r="C89" s="24">
        <f>B89*0.45</f>
        <v>439200</v>
      </c>
      <c r="D89" s="60"/>
      <c r="E89" s="93">
        <f t="shared" si="2"/>
        <v>439200</v>
      </c>
      <c r="F89" s="60"/>
      <c r="G89" s="92">
        <f t="shared" si="27"/>
        <v>91.5</v>
      </c>
      <c r="H89" s="92">
        <f t="shared" si="28"/>
        <v>105.22499999999999</v>
      </c>
    </row>
    <row r="90" spans="1:8">
      <c r="A90" s="60" t="s">
        <v>565</v>
      </c>
      <c r="B90" s="24">
        <v>77625</v>
      </c>
      <c r="C90" s="24">
        <f>B90*0.2</f>
        <v>15525</v>
      </c>
      <c r="D90" s="60"/>
      <c r="E90" s="93">
        <f t="shared" si="2"/>
        <v>15525</v>
      </c>
      <c r="F90" s="60"/>
      <c r="G90" s="92">
        <f t="shared" si="27"/>
        <v>3.234375</v>
      </c>
      <c r="H90" s="92">
        <f t="shared" si="28"/>
        <v>3.7195312499999997</v>
      </c>
    </row>
    <row r="91" spans="1:8">
      <c r="A91" s="60" t="s">
        <v>570</v>
      </c>
      <c r="B91" s="24">
        <v>1267797</v>
      </c>
      <c r="C91" s="24">
        <f>B91*0.2</f>
        <v>253559.40000000002</v>
      </c>
      <c r="D91" s="60"/>
      <c r="E91" s="93">
        <f t="shared" si="2"/>
        <v>253559.40000000002</v>
      </c>
      <c r="F91" s="60"/>
      <c r="G91" s="92">
        <f t="shared" si="27"/>
        <v>52.824875000000006</v>
      </c>
      <c r="H91" s="92">
        <f t="shared" si="28"/>
        <v>60.748606250000002</v>
      </c>
    </row>
    <row r="92" spans="1:8">
      <c r="A92" s="60" t="s">
        <v>571</v>
      </c>
      <c r="B92" s="24">
        <v>41275500</v>
      </c>
      <c r="C92" s="24">
        <f>0.25*B92</f>
        <v>10318875</v>
      </c>
      <c r="D92" s="60"/>
      <c r="E92" s="93">
        <f t="shared" si="2"/>
        <v>10318875</v>
      </c>
      <c r="F92" s="60"/>
      <c r="G92" s="92">
        <f t="shared" si="27"/>
        <v>2149.765625</v>
      </c>
      <c r="H92" s="92">
        <f t="shared" si="28"/>
        <v>2472.23046875</v>
      </c>
    </row>
    <row r="93" spans="1:8">
      <c r="A93" s="60"/>
      <c r="B93" s="24"/>
      <c r="C93" s="24"/>
      <c r="D93" s="60"/>
      <c r="E93" s="93"/>
      <c r="F93" s="60"/>
      <c r="G93" s="93"/>
      <c r="H93" s="60"/>
    </row>
    <row r="94" spans="1:8">
      <c r="A94" s="60"/>
      <c r="B94" s="24">
        <f>SUM(B8:B92)</f>
        <v>140104023.3039</v>
      </c>
      <c r="C94" s="24">
        <f>SUM(C8:C92)</f>
        <v>56600170.751949996</v>
      </c>
      <c r="D94" s="24">
        <f>SUM(D8:D91)</f>
        <v>-18419512</v>
      </c>
      <c r="E94" s="24">
        <f>SUM(E8:E92)</f>
        <v>38180658.751949996</v>
      </c>
      <c r="F94" s="24">
        <v>4800</v>
      </c>
      <c r="G94" s="50">
        <f>ROUND(E94/F94,0)</f>
        <v>7954</v>
      </c>
      <c r="H94" s="92">
        <f>ROUND(G94*1.15,0)</f>
        <v>9147</v>
      </c>
    </row>
    <row r="95" spans="1:8">
      <c r="A95" s="60"/>
      <c r="B95" s="24"/>
      <c r="C95" s="24"/>
      <c r="D95" s="24"/>
      <c r="E95" s="24"/>
      <c r="F95" s="24"/>
      <c r="G95" s="50"/>
      <c r="H95" s="92"/>
    </row>
    <row r="96" spans="1:8">
      <c r="A96" s="60"/>
      <c r="B96" s="60"/>
      <c r="C96" s="60"/>
      <c r="D96" s="60"/>
      <c r="E96" s="60"/>
      <c r="F96" s="60"/>
      <c r="G96" s="60"/>
      <c r="H96" s="60"/>
    </row>
    <row r="97" spans="1:8">
      <c r="A97" s="129" t="s">
        <v>17</v>
      </c>
      <c r="B97" s="128"/>
      <c r="C97" s="60"/>
      <c r="D97" s="60"/>
      <c r="E97" s="60"/>
      <c r="F97" s="60"/>
      <c r="G97" s="60"/>
      <c r="H97" s="60"/>
    </row>
    <row r="98" spans="1:8">
      <c r="A98" s="60" t="s">
        <v>12</v>
      </c>
      <c r="B98" s="24">
        <v>563950</v>
      </c>
      <c r="C98" s="24">
        <f>B98-279383</f>
        <v>284567</v>
      </c>
      <c r="D98" s="60"/>
      <c r="E98" s="93">
        <f t="shared" ref="E98:E129" si="33">SUM(C98:D98)</f>
        <v>284567</v>
      </c>
      <c r="F98" s="60"/>
      <c r="G98" s="92">
        <f t="shared" ref="G98:G128" si="34">E98/F$94</f>
        <v>59.284791666666663</v>
      </c>
      <c r="H98" s="92">
        <f t="shared" ref="H98:H128" si="35">G98*1.15</f>
        <v>68.177510416666664</v>
      </c>
    </row>
    <row r="99" spans="1:8">
      <c r="A99" s="60" t="s">
        <v>14</v>
      </c>
      <c r="B99" s="24">
        <v>17330798</v>
      </c>
      <c r="C99" s="24">
        <f>B99-15597718</f>
        <v>1733080</v>
      </c>
      <c r="D99" s="60"/>
      <c r="E99" s="93">
        <f t="shared" si="33"/>
        <v>1733080</v>
      </c>
      <c r="F99" s="60"/>
      <c r="G99" s="92">
        <f t="shared" si="34"/>
        <v>361.05833333333334</v>
      </c>
      <c r="H99" s="92">
        <f t="shared" si="35"/>
        <v>415.21708333333328</v>
      </c>
    </row>
    <row r="100" spans="1:8">
      <c r="A100" s="60" t="s">
        <v>18</v>
      </c>
      <c r="B100" s="24">
        <v>559728</v>
      </c>
      <c r="C100" s="24">
        <f>B100-335837</f>
        <v>223891</v>
      </c>
      <c r="D100" s="60"/>
      <c r="E100" s="93">
        <f t="shared" si="33"/>
        <v>223891</v>
      </c>
      <c r="F100" s="60"/>
      <c r="G100" s="92">
        <f t="shared" si="34"/>
        <v>46.64395833333333</v>
      </c>
      <c r="H100" s="92">
        <f t="shared" si="35"/>
        <v>53.640552083333326</v>
      </c>
    </row>
    <row r="101" spans="1:8">
      <c r="A101" s="60" t="s">
        <v>566</v>
      </c>
      <c r="B101" s="24">
        <v>2009856</v>
      </c>
      <c r="C101" s="24">
        <f>B101-502465</f>
        <v>1507391</v>
      </c>
      <c r="D101" s="60"/>
      <c r="E101" s="93">
        <f t="shared" si="33"/>
        <v>1507391</v>
      </c>
      <c r="F101" s="60"/>
      <c r="G101" s="92">
        <f t="shared" si="34"/>
        <v>314.03979166666664</v>
      </c>
      <c r="H101" s="92">
        <f t="shared" si="35"/>
        <v>361.14576041666663</v>
      </c>
    </row>
    <row r="102" spans="1:8" ht="30">
      <c r="A102" s="85" t="s">
        <v>329</v>
      </c>
      <c r="B102" s="24">
        <v>2087926</v>
      </c>
      <c r="C102" s="24">
        <f>B102-1043963</f>
        <v>1043963</v>
      </c>
      <c r="D102" s="60"/>
      <c r="E102" s="93">
        <f t="shared" si="33"/>
        <v>1043963</v>
      </c>
      <c r="F102" s="60"/>
      <c r="G102" s="92">
        <f t="shared" si="34"/>
        <v>217.49229166666666</v>
      </c>
      <c r="H102" s="92">
        <f t="shared" si="35"/>
        <v>250.11613541666665</v>
      </c>
    </row>
    <row r="103" spans="1:8" ht="30">
      <c r="A103" s="85" t="s">
        <v>330</v>
      </c>
      <c r="B103" s="24">
        <v>1251782</v>
      </c>
      <c r="C103" s="24">
        <f>B103-625891</f>
        <v>625891</v>
      </c>
      <c r="D103" s="60"/>
      <c r="E103" s="93">
        <f t="shared" si="33"/>
        <v>625891</v>
      </c>
      <c r="F103" s="60"/>
      <c r="G103" s="92">
        <f t="shared" si="34"/>
        <v>130.39395833333333</v>
      </c>
      <c r="H103" s="92">
        <f t="shared" si="35"/>
        <v>149.95305208333332</v>
      </c>
    </row>
    <row r="104" spans="1:8" ht="30">
      <c r="A104" s="85" t="s">
        <v>328</v>
      </c>
      <c r="B104" s="24">
        <v>155964</v>
      </c>
      <c r="C104" s="24">
        <f>B104-77983</f>
        <v>77981</v>
      </c>
      <c r="D104" s="60"/>
      <c r="E104" s="93">
        <f t="shared" si="33"/>
        <v>77981</v>
      </c>
      <c r="F104" s="60"/>
      <c r="G104" s="92">
        <f t="shared" si="34"/>
        <v>16.246041666666667</v>
      </c>
      <c r="H104" s="92">
        <f t="shared" si="35"/>
        <v>18.682947916666667</v>
      </c>
    </row>
    <row r="105" spans="1:8" ht="30">
      <c r="A105" s="85" t="s">
        <v>285</v>
      </c>
      <c r="B105" s="24">
        <v>372674</v>
      </c>
      <c r="C105" s="24">
        <f>B105-186337</f>
        <v>186337</v>
      </c>
      <c r="D105" s="60"/>
      <c r="E105" s="93">
        <f t="shared" si="33"/>
        <v>186337</v>
      </c>
      <c r="F105" s="60"/>
      <c r="G105" s="92">
        <f t="shared" si="34"/>
        <v>38.820208333333333</v>
      </c>
      <c r="H105" s="92">
        <f t="shared" si="35"/>
        <v>44.643239583333333</v>
      </c>
    </row>
    <row r="106" spans="1:8" ht="30">
      <c r="A106" s="85" t="s">
        <v>494</v>
      </c>
      <c r="B106" s="24">
        <v>546863</v>
      </c>
      <c r="C106" s="24">
        <f>B106-437491</f>
        <v>109372</v>
      </c>
      <c r="D106" s="60"/>
      <c r="E106" s="93">
        <f t="shared" si="33"/>
        <v>109372</v>
      </c>
      <c r="F106" s="60"/>
      <c r="G106" s="92">
        <f t="shared" si="34"/>
        <v>22.785833333333333</v>
      </c>
      <c r="H106" s="92">
        <f t="shared" si="35"/>
        <v>26.203708333333331</v>
      </c>
    </row>
    <row r="107" spans="1:8" ht="30">
      <c r="A107" s="85" t="s">
        <v>495</v>
      </c>
      <c r="B107" s="24">
        <v>293858</v>
      </c>
      <c r="C107" s="24">
        <f>B107-146929</f>
        <v>146929</v>
      </c>
      <c r="D107" s="60"/>
      <c r="E107" s="93">
        <f t="shared" si="33"/>
        <v>146929</v>
      </c>
      <c r="F107" s="60"/>
      <c r="G107" s="92">
        <f t="shared" si="34"/>
        <v>30.610208333333333</v>
      </c>
      <c r="H107" s="92">
        <f t="shared" si="35"/>
        <v>35.201739583333328</v>
      </c>
    </row>
    <row r="108" spans="1:8">
      <c r="A108" s="85" t="s">
        <v>326</v>
      </c>
      <c r="B108" s="24">
        <v>899951</v>
      </c>
      <c r="C108" s="24">
        <f>B108-719961</f>
        <v>179990</v>
      </c>
      <c r="D108" s="60"/>
      <c r="E108" s="93">
        <f t="shared" si="33"/>
        <v>179990</v>
      </c>
      <c r="F108" s="60"/>
      <c r="G108" s="92">
        <f t="shared" si="34"/>
        <v>37.497916666666669</v>
      </c>
      <c r="H108" s="92">
        <f t="shared" si="35"/>
        <v>43.122604166666669</v>
      </c>
    </row>
    <row r="109" spans="1:8">
      <c r="A109" s="85" t="s">
        <v>162</v>
      </c>
      <c r="B109" s="24">
        <v>781216</v>
      </c>
      <c r="C109" s="24">
        <f>B109-390608</f>
        <v>390608</v>
      </c>
      <c r="D109" s="60"/>
      <c r="E109" s="93">
        <f t="shared" si="33"/>
        <v>390608</v>
      </c>
      <c r="F109" s="60"/>
      <c r="G109" s="92">
        <f t="shared" si="34"/>
        <v>81.376666666666665</v>
      </c>
      <c r="H109" s="92">
        <f t="shared" si="35"/>
        <v>93.583166666666656</v>
      </c>
    </row>
    <row r="110" spans="1:8">
      <c r="A110" s="85" t="s">
        <v>163</v>
      </c>
      <c r="B110" s="24">
        <v>745964</v>
      </c>
      <c r="C110" s="24">
        <f>B110-372982</f>
        <v>372982</v>
      </c>
      <c r="D110" s="60"/>
      <c r="E110" s="93">
        <f t="shared" si="33"/>
        <v>372982</v>
      </c>
      <c r="F110" s="60"/>
      <c r="G110" s="92">
        <f t="shared" si="34"/>
        <v>77.704583333333332</v>
      </c>
      <c r="H110" s="92">
        <f t="shared" si="35"/>
        <v>89.360270833333331</v>
      </c>
    </row>
    <row r="111" spans="1:8">
      <c r="A111" s="85" t="s">
        <v>13</v>
      </c>
      <c r="B111" s="24">
        <v>395995</v>
      </c>
      <c r="C111" s="24">
        <f>B111-98998</f>
        <v>296997</v>
      </c>
      <c r="D111" s="60"/>
      <c r="E111" s="93">
        <f t="shared" si="33"/>
        <v>296997</v>
      </c>
      <c r="F111" s="60"/>
      <c r="G111" s="92">
        <f t="shared" si="34"/>
        <v>61.874375000000001</v>
      </c>
      <c r="H111" s="92">
        <f t="shared" si="35"/>
        <v>71.155531249999996</v>
      </c>
    </row>
    <row r="112" spans="1:8">
      <c r="A112" s="85" t="s">
        <v>427</v>
      </c>
      <c r="B112" s="24">
        <v>1299889</v>
      </c>
      <c r="C112" s="24">
        <f>B112-649945</f>
        <v>649944</v>
      </c>
      <c r="D112" s="60"/>
      <c r="E112" s="93">
        <f t="shared" si="33"/>
        <v>649944</v>
      </c>
      <c r="F112" s="60"/>
      <c r="G112" s="92">
        <f t="shared" si="34"/>
        <v>135.405</v>
      </c>
      <c r="H112" s="92">
        <f t="shared" si="35"/>
        <v>155.71574999999999</v>
      </c>
    </row>
    <row r="113" spans="1:8">
      <c r="A113" s="85" t="s">
        <v>496</v>
      </c>
      <c r="B113" s="24">
        <v>780515</v>
      </c>
      <c r="C113" s="24">
        <f>B113-390258</f>
        <v>390257</v>
      </c>
      <c r="D113" s="60"/>
      <c r="E113" s="93">
        <f t="shared" si="33"/>
        <v>390257</v>
      </c>
      <c r="F113" s="60"/>
      <c r="G113" s="92">
        <f t="shared" si="34"/>
        <v>81.303541666666661</v>
      </c>
      <c r="H113" s="92">
        <f t="shared" si="35"/>
        <v>93.499072916666648</v>
      </c>
    </row>
    <row r="114" spans="1:8" ht="30">
      <c r="A114" s="85" t="s">
        <v>497</v>
      </c>
      <c r="B114" s="24">
        <v>123135</v>
      </c>
      <c r="C114" s="24">
        <f>B114-61568</f>
        <v>61567</v>
      </c>
      <c r="D114" s="60"/>
      <c r="E114" s="93">
        <f t="shared" si="33"/>
        <v>61567</v>
      </c>
      <c r="F114" s="60"/>
      <c r="G114" s="92">
        <f t="shared" si="34"/>
        <v>12.826458333333333</v>
      </c>
      <c r="H114" s="92">
        <f t="shared" si="35"/>
        <v>14.750427083333332</v>
      </c>
    </row>
    <row r="115" spans="1:8">
      <c r="A115" s="85" t="s">
        <v>498</v>
      </c>
      <c r="B115" s="24">
        <v>10497</v>
      </c>
      <c r="C115" s="24">
        <f>B115-5248</f>
        <v>5249</v>
      </c>
      <c r="D115" s="60"/>
      <c r="E115" s="93">
        <f t="shared" si="33"/>
        <v>5249</v>
      </c>
      <c r="F115" s="60"/>
      <c r="G115" s="92">
        <f t="shared" si="34"/>
        <v>1.0935416666666666</v>
      </c>
      <c r="H115" s="92">
        <f t="shared" si="35"/>
        <v>1.2575729166666665</v>
      </c>
    </row>
    <row r="116" spans="1:8">
      <c r="A116" s="85" t="s">
        <v>499</v>
      </c>
      <c r="B116" s="24">
        <v>80962</v>
      </c>
      <c r="C116" s="24">
        <f>B116-40481</f>
        <v>40481</v>
      </c>
      <c r="D116" s="60"/>
      <c r="E116" s="93">
        <f t="shared" si="33"/>
        <v>40481</v>
      </c>
      <c r="F116" s="60"/>
      <c r="G116" s="92">
        <f t="shared" si="34"/>
        <v>8.4335416666666667</v>
      </c>
      <c r="H116" s="92">
        <f t="shared" si="35"/>
        <v>9.6985729166666665</v>
      </c>
    </row>
    <row r="117" spans="1:8" ht="30">
      <c r="A117" s="85" t="s">
        <v>567</v>
      </c>
      <c r="B117" s="24">
        <v>87131</v>
      </c>
      <c r="C117" s="24">
        <f>B117*0.5</f>
        <v>43565.5</v>
      </c>
      <c r="D117" s="60"/>
      <c r="E117" s="93">
        <f t="shared" si="33"/>
        <v>43565.5</v>
      </c>
      <c r="F117" s="60"/>
      <c r="G117" s="92">
        <f t="shared" si="34"/>
        <v>9.0761458333333334</v>
      </c>
      <c r="H117" s="92">
        <f t="shared" si="35"/>
        <v>10.437567708333333</v>
      </c>
    </row>
    <row r="118" spans="1:8" ht="30">
      <c r="A118" s="85" t="s">
        <v>568</v>
      </c>
      <c r="B118" s="24">
        <v>448962</v>
      </c>
      <c r="C118" s="24">
        <f>B118*0.5</f>
        <v>224481</v>
      </c>
      <c r="D118" s="60"/>
      <c r="E118" s="93">
        <f t="shared" si="33"/>
        <v>224481</v>
      </c>
      <c r="F118" s="60"/>
      <c r="G118" s="92">
        <f t="shared" si="34"/>
        <v>46.766874999999999</v>
      </c>
      <c r="H118" s="92">
        <f t="shared" si="35"/>
        <v>53.781906249999992</v>
      </c>
    </row>
    <row r="119" spans="1:8">
      <c r="A119" s="75"/>
      <c r="B119" s="24"/>
      <c r="C119" s="24"/>
      <c r="D119" s="60"/>
      <c r="E119" s="93"/>
      <c r="F119" s="60"/>
      <c r="G119" s="92">
        <f t="shared" si="34"/>
        <v>0</v>
      </c>
      <c r="H119" s="92">
        <f t="shared" si="35"/>
        <v>0</v>
      </c>
    </row>
    <row r="120" spans="1:8">
      <c r="A120" s="85"/>
      <c r="B120" s="24"/>
      <c r="C120" s="24"/>
      <c r="D120" s="60"/>
      <c r="E120" s="93"/>
      <c r="F120" s="60"/>
      <c r="G120" s="92">
        <f t="shared" si="34"/>
        <v>0</v>
      </c>
      <c r="H120" s="92">
        <f t="shared" si="35"/>
        <v>0</v>
      </c>
    </row>
    <row r="121" spans="1:8">
      <c r="A121" s="60" t="s">
        <v>161</v>
      </c>
      <c r="B121" s="24">
        <v>8950443</v>
      </c>
      <c r="C121" s="24">
        <f>B121-3371404-2955011</f>
        <v>2624028</v>
      </c>
      <c r="D121" s="60"/>
      <c r="E121" s="93">
        <f t="shared" si="33"/>
        <v>2624028</v>
      </c>
      <c r="F121" s="60"/>
      <c r="G121" s="92">
        <f t="shared" si="34"/>
        <v>546.67250000000001</v>
      </c>
      <c r="H121" s="92">
        <f t="shared" si="35"/>
        <v>628.67337499999996</v>
      </c>
    </row>
    <row r="122" spans="1:8">
      <c r="A122" s="60" t="s">
        <v>256</v>
      </c>
      <c r="B122" s="24">
        <v>2161142</v>
      </c>
      <c r="C122" s="24">
        <f>B122-1512799</f>
        <v>648343</v>
      </c>
      <c r="D122" s="60"/>
      <c r="E122" s="93">
        <f t="shared" si="33"/>
        <v>648343</v>
      </c>
      <c r="F122" s="60"/>
      <c r="G122" s="92">
        <f t="shared" si="34"/>
        <v>135.07145833333334</v>
      </c>
      <c r="H122" s="92">
        <f t="shared" si="35"/>
        <v>155.33217708333333</v>
      </c>
    </row>
    <row r="123" spans="1:8">
      <c r="A123" s="60" t="s">
        <v>371</v>
      </c>
      <c r="B123" s="24">
        <v>6371950</v>
      </c>
      <c r="C123" s="24">
        <f>B123-3185975</f>
        <v>3185975</v>
      </c>
      <c r="D123" s="60"/>
      <c r="E123" s="93">
        <f t="shared" si="33"/>
        <v>3185975</v>
      </c>
      <c r="F123" s="60"/>
      <c r="G123" s="92">
        <f t="shared" si="34"/>
        <v>663.74479166666663</v>
      </c>
      <c r="H123" s="92">
        <f t="shared" si="35"/>
        <v>763.30651041666658</v>
      </c>
    </row>
    <row r="124" spans="1:8">
      <c r="A124" s="60" t="s">
        <v>372</v>
      </c>
      <c r="B124" s="24">
        <v>1258094</v>
      </c>
      <c r="C124" s="24">
        <f>B124*0.5</f>
        <v>629047</v>
      </c>
      <c r="D124" s="60"/>
      <c r="E124" s="93">
        <f t="shared" si="33"/>
        <v>629047</v>
      </c>
      <c r="F124" s="60"/>
      <c r="G124" s="92">
        <f t="shared" si="34"/>
        <v>131.05145833333333</v>
      </c>
      <c r="H124" s="92">
        <f t="shared" si="35"/>
        <v>150.70917708333332</v>
      </c>
    </row>
    <row r="125" spans="1:8">
      <c r="A125" s="60" t="s">
        <v>373</v>
      </c>
      <c r="B125" s="24">
        <v>1321185</v>
      </c>
      <c r="C125" s="24">
        <f>B125*0.5</f>
        <v>660592.5</v>
      </c>
      <c r="D125" s="60"/>
      <c r="E125" s="93">
        <f t="shared" si="33"/>
        <v>660592.5</v>
      </c>
      <c r="F125" s="60"/>
      <c r="G125" s="92">
        <f t="shared" si="34"/>
        <v>137.62343749999999</v>
      </c>
      <c r="H125" s="92">
        <f t="shared" si="35"/>
        <v>158.26695312499999</v>
      </c>
    </row>
    <row r="126" spans="1:8">
      <c r="A126" s="60" t="s">
        <v>374</v>
      </c>
      <c r="B126" s="24">
        <v>253719</v>
      </c>
      <c r="C126" s="24">
        <f>B126*0.5</f>
        <v>126859.5</v>
      </c>
      <c r="D126" s="60"/>
      <c r="E126" s="93">
        <f t="shared" si="33"/>
        <v>126859.5</v>
      </c>
      <c r="F126" s="60"/>
      <c r="G126" s="92">
        <f t="shared" si="34"/>
        <v>26.429062500000001</v>
      </c>
      <c r="H126" s="92">
        <f t="shared" si="35"/>
        <v>30.393421874999998</v>
      </c>
    </row>
    <row r="127" spans="1:8">
      <c r="A127" s="60" t="s">
        <v>375</v>
      </c>
      <c r="B127" s="24">
        <v>139955</v>
      </c>
      <c r="C127" s="24">
        <f>B127*0.5</f>
        <v>69977.5</v>
      </c>
      <c r="D127" s="60"/>
      <c r="E127" s="93">
        <f t="shared" si="33"/>
        <v>69977.5</v>
      </c>
      <c r="F127" s="60"/>
      <c r="G127" s="92">
        <f t="shared" si="34"/>
        <v>14.578645833333333</v>
      </c>
      <c r="H127" s="92">
        <f t="shared" si="35"/>
        <v>16.765442708333332</v>
      </c>
    </row>
    <row r="128" spans="1:8">
      <c r="A128" s="85" t="s">
        <v>164</v>
      </c>
      <c r="B128" s="24">
        <v>13284</v>
      </c>
      <c r="C128" s="24">
        <f>B128*0.8</f>
        <v>10627.2</v>
      </c>
      <c r="D128" s="60"/>
      <c r="E128" s="93">
        <f t="shared" si="33"/>
        <v>10627.2</v>
      </c>
      <c r="F128" s="60"/>
      <c r="G128" s="92">
        <f t="shared" si="34"/>
        <v>2.214</v>
      </c>
      <c r="H128" s="92">
        <f t="shared" si="35"/>
        <v>2.5460999999999996</v>
      </c>
    </row>
    <row r="129" spans="1:8">
      <c r="A129" s="60" t="s">
        <v>19</v>
      </c>
      <c r="B129" s="60"/>
      <c r="C129" s="60"/>
      <c r="D129" s="24">
        <f>-4383702-0.51*C119</f>
        <v>-4383702</v>
      </c>
      <c r="E129" s="93">
        <f t="shared" si="33"/>
        <v>-4383702</v>
      </c>
      <c r="F129" s="60"/>
      <c r="G129" s="60"/>
      <c r="H129" s="60"/>
    </row>
    <row r="130" spans="1:8">
      <c r="A130" s="60"/>
      <c r="B130" s="93">
        <f>SUM(B98:B129)</f>
        <v>51297388</v>
      </c>
      <c r="C130" s="93">
        <f>SUM(C98:C129)</f>
        <v>16550973.199999999</v>
      </c>
      <c r="D130" s="93">
        <f>SUM(D98:D129)</f>
        <v>-4383702</v>
      </c>
      <c r="E130" s="93">
        <f>SUM(E98:E129)</f>
        <v>12167271.199999999</v>
      </c>
      <c r="F130" s="24">
        <v>4800</v>
      </c>
      <c r="G130" s="50">
        <f>ROUND(E130/F130,0)</f>
        <v>2535</v>
      </c>
      <c r="H130" s="92">
        <f>ROUNDDOWN(G130*1.15,0)</f>
        <v>2915</v>
      </c>
    </row>
    <row r="131" spans="1:8">
      <c r="A131" s="60"/>
      <c r="B131" s="60"/>
      <c r="C131" s="60"/>
      <c r="D131" s="60"/>
      <c r="E131" s="60"/>
      <c r="F131" s="60"/>
      <c r="G131" s="60"/>
      <c r="H131" s="60"/>
    </row>
    <row r="132" spans="1:8">
      <c r="A132" s="128" t="s">
        <v>184</v>
      </c>
      <c r="B132" s="60"/>
      <c r="C132" s="60"/>
      <c r="D132" s="60"/>
      <c r="E132" s="24"/>
      <c r="F132" s="60"/>
      <c r="G132" s="131">
        <f>SUM(G94,G130)</f>
        <v>10489</v>
      </c>
      <c r="H132" s="131">
        <f>ROUND(G132*1.15,0)</f>
        <v>12062</v>
      </c>
    </row>
    <row r="133" spans="1:8">
      <c r="E133" s="3"/>
      <c r="G133" s="3"/>
    </row>
    <row r="134" spans="1:8">
      <c r="G134" s="132"/>
    </row>
    <row r="135" spans="1:8">
      <c r="C135" s="133"/>
    </row>
    <row r="136" spans="1:8">
      <c r="C136" s="133"/>
    </row>
    <row r="137" spans="1:8">
      <c r="C137" s="133"/>
    </row>
    <row r="138" spans="1:8">
      <c r="C138" s="133"/>
    </row>
    <row r="139" spans="1:8">
      <c r="C139" s="133"/>
    </row>
    <row r="140" spans="1:8">
      <c r="C140" s="133"/>
    </row>
    <row r="141" spans="1:8">
      <c r="C141" s="133"/>
    </row>
    <row r="142" spans="1:8">
      <c r="C142" s="133"/>
    </row>
    <row r="143" spans="1:8">
      <c r="C143" s="133"/>
    </row>
  </sheetData>
  <customSheetViews>
    <customSheetView guid="{E62C39C8-EAA6-407C-933E-B5BB52ED1B14}" fitToPage="1">
      <selection activeCell="C38" sqref="C38"/>
      <pageMargins left="0.51181102362204722" right="0.51181102362204722" top="0.74803149606299213" bottom="0.74803149606299213" header="0.31496062992125984" footer="0.31496062992125984"/>
      <pageSetup paperSize="9" scale="63" fitToHeight="0" orientation="portrait" r:id="rId1"/>
      <headerFooter>
        <oddFooter>&amp;L&amp;"-,Bold"Waimakariri District Council 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59" orientation="portrait" r:id="rId2"/>
  <headerFooter>
    <oddFooter>&amp;L&amp;"-,Bold"Waimakariri District Council &amp;C&amp;D&amp;RPage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0" tint="-0.249977111117893"/>
    <pageSetUpPr fitToPage="1"/>
  </sheetPr>
  <dimension ref="A1:F19"/>
  <sheetViews>
    <sheetView workbookViewId="0">
      <selection activeCell="F24" sqref="F24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222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14"/>
      <c r="B5" s="9"/>
      <c r="C5" s="16"/>
      <c r="D5" s="16"/>
      <c r="E5" s="16"/>
      <c r="F5" s="16"/>
    </row>
    <row r="6" spans="1:6">
      <c r="A6" s="61" t="s">
        <v>4</v>
      </c>
      <c r="B6" s="9"/>
      <c r="C6" s="11"/>
      <c r="D6" s="11"/>
      <c r="E6" s="12"/>
      <c r="F6" s="12"/>
    </row>
    <row r="7" spans="1:6">
      <c r="A7" s="39" t="s">
        <v>3</v>
      </c>
      <c r="B7" s="9"/>
      <c r="C7" s="11"/>
      <c r="D7" s="11"/>
      <c r="E7" s="12"/>
      <c r="F7" s="12"/>
    </row>
    <row r="8" spans="1:6">
      <c r="A8" s="41" t="s">
        <v>500</v>
      </c>
      <c r="B8" s="10">
        <v>600000</v>
      </c>
      <c r="C8" s="11">
        <v>600000</v>
      </c>
      <c r="D8" s="11">
        <v>1530</v>
      </c>
      <c r="E8" s="12">
        <f>ROUND(B8/D8,0)</f>
        <v>392</v>
      </c>
      <c r="F8" s="12">
        <f>ROUND(E8*1.15,0)</f>
        <v>451</v>
      </c>
    </row>
    <row r="9" spans="1:6">
      <c r="A9" s="41"/>
      <c r="B9" s="11"/>
      <c r="C9" s="10"/>
      <c r="D9" s="11"/>
      <c r="E9" s="12"/>
      <c r="F9" s="12"/>
    </row>
    <row r="10" spans="1:6">
      <c r="A10" s="61"/>
      <c r="B10" s="9"/>
      <c r="C10" s="11"/>
      <c r="D10" s="11"/>
      <c r="E10" s="12"/>
      <c r="F10" s="12"/>
    </row>
    <row r="11" spans="1:6">
      <c r="A11" s="39" t="s">
        <v>2</v>
      </c>
      <c r="B11" s="9"/>
      <c r="C11" s="9"/>
      <c r="D11" s="9"/>
      <c r="E11" s="9"/>
      <c r="F11" s="9"/>
    </row>
    <row r="12" spans="1:6">
      <c r="A12" s="9" t="s">
        <v>145</v>
      </c>
      <c r="B12" s="10">
        <v>415603</v>
      </c>
      <c r="C12" s="9"/>
      <c r="D12" s="9"/>
      <c r="E12" s="9"/>
      <c r="F12" s="9"/>
    </row>
    <row r="13" spans="1:6">
      <c r="A13" s="9"/>
      <c r="B13" s="10"/>
      <c r="C13" s="9"/>
      <c r="D13" s="9"/>
      <c r="E13" s="9"/>
      <c r="F13" s="9"/>
    </row>
    <row r="14" spans="1:6">
      <c r="A14" s="9"/>
      <c r="B14" s="11">
        <f>SUM(B12:B13)</f>
        <v>415603</v>
      </c>
      <c r="C14" s="10">
        <f>B14</f>
        <v>415603</v>
      </c>
      <c r="D14" s="11">
        <v>1530</v>
      </c>
      <c r="E14" s="12">
        <f>ROUND(B14/D14,0)</f>
        <v>272</v>
      </c>
      <c r="F14" s="12">
        <f>ROUND(E14*1.15,0)</f>
        <v>313</v>
      </c>
    </row>
    <row r="15" spans="1:6">
      <c r="A15" s="9"/>
      <c r="B15" s="11"/>
      <c r="C15" s="9"/>
      <c r="D15" s="9"/>
      <c r="E15" s="9"/>
      <c r="F15" s="9"/>
    </row>
    <row r="16" spans="1:6">
      <c r="A16" s="14" t="s">
        <v>184</v>
      </c>
      <c r="B16" s="11"/>
      <c r="C16" s="9"/>
      <c r="D16" s="9"/>
      <c r="E16" s="12">
        <f>SUM(E8:E14)</f>
        <v>664</v>
      </c>
      <c r="F16" s="12">
        <f>SUM(F8:F14)</f>
        <v>764</v>
      </c>
    </row>
    <row r="17" spans="2:6">
      <c r="B17" s="4"/>
    </row>
    <row r="19" spans="2:6">
      <c r="B19" s="3"/>
      <c r="C19" s="2"/>
      <c r="D19" s="3"/>
      <c r="E19" s="4"/>
      <c r="F19" s="4"/>
    </row>
  </sheetData>
  <customSheetViews>
    <customSheetView guid="{E62C39C8-EAA6-407C-933E-B5BB52ED1B14}" fitToPage="1">
      <selection activeCell="B9" sqref="B9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0" tint="-0.249977111117893"/>
    <pageSetUpPr fitToPage="1"/>
  </sheetPr>
  <dimension ref="A1:F33"/>
  <sheetViews>
    <sheetView topLeftCell="A14" workbookViewId="0">
      <selection activeCell="Q49" sqref="Q49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223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14" t="s">
        <v>103</v>
      </c>
      <c r="B5" s="9"/>
      <c r="C5" s="16"/>
      <c r="D5" s="16"/>
      <c r="E5" s="16"/>
      <c r="F5" s="16"/>
    </row>
    <row r="6" spans="1:6">
      <c r="A6" s="61" t="s">
        <v>4</v>
      </c>
      <c r="B6" s="9"/>
      <c r="C6" s="11"/>
      <c r="D6" s="11"/>
      <c r="E6" s="12"/>
      <c r="F6" s="12"/>
    </row>
    <row r="7" spans="1:6">
      <c r="A7" s="39" t="s">
        <v>2</v>
      </c>
      <c r="B7" s="9"/>
      <c r="C7" s="9"/>
      <c r="D7" s="9"/>
      <c r="E7" s="9"/>
      <c r="F7" s="9"/>
    </row>
    <row r="8" spans="1:6">
      <c r="A8" s="9" t="s">
        <v>102</v>
      </c>
      <c r="B8" s="10">
        <v>5750000</v>
      </c>
      <c r="C8" s="9"/>
      <c r="D8" s="9"/>
      <c r="E8" s="9"/>
      <c r="F8" s="9"/>
    </row>
    <row r="9" spans="1:6">
      <c r="A9" s="9"/>
      <c r="B9" s="10"/>
      <c r="C9" s="9"/>
      <c r="D9" s="9"/>
      <c r="E9" s="9"/>
      <c r="F9" s="9"/>
    </row>
    <row r="10" spans="1:6">
      <c r="A10" s="9"/>
      <c r="B10" s="11">
        <f>SUM(B8:B9)</f>
        <v>5750000</v>
      </c>
      <c r="C10" s="10">
        <f>B10</f>
        <v>5750000</v>
      </c>
      <c r="D10" s="11">
        <v>1115</v>
      </c>
      <c r="E10" s="12">
        <f>ROUND(B10/D10,0)</f>
        <v>5157</v>
      </c>
      <c r="F10" s="12">
        <f>ROUND(E10*1.15,0)</f>
        <v>5931</v>
      </c>
    </row>
    <row r="11" spans="1:6">
      <c r="A11" s="9"/>
      <c r="B11" s="9"/>
      <c r="C11" s="9"/>
      <c r="D11" s="9"/>
      <c r="E11" s="9"/>
      <c r="F11" s="9"/>
    </row>
    <row r="12" spans="1:6">
      <c r="A12" s="9"/>
      <c r="B12" s="11"/>
      <c r="C12" s="10"/>
      <c r="D12" s="11"/>
      <c r="E12" s="12"/>
      <c r="F12" s="12"/>
    </row>
    <row r="13" spans="1:6">
      <c r="A13" s="9"/>
      <c r="B13" s="11"/>
      <c r="C13" s="9"/>
      <c r="D13" s="9"/>
      <c r="E13" s="9"/>
      <c r="F13" s="9"/>
    </row>
    <row r="14" spans="1:6">
      <c r="A14" s="14" t="s">
        <v>184</v>
      </c>
      <c r="B14" s="11"/>
      <c r="C14" s="9"/>
      <c r="D14" s="9"/>
      <c r="E14" s="12">
        <f>SUM(E9:E13)</f>
        <v>5157</v>
      </c>
      <c r="F14" s="12">
        <f>SUM(F9:F13)</f>
        <v>5931</v>
      </c>
    </row>
    <row r="15" spans="1:6">
      <c r="A15" s="9"/>
      <c r="B15" s="12"/>
      <c r="C15" s="9"/>
      <c r="D15" s="9"/>
      <c r="E15" s="9"/>
      <c r="F15" s="9"/>
    </row>
    <row r="16" spans="1:6">
      <c r="A16" s="9"/>
      <c r="B16" s="9"/>
      <c r="C16" s="9"/>
      <c r="D16" s="9"/>
      <c r="E16" s="9"/>
      <c r="F16" s="9"/>
    </row>
    <row r="17" spans="1:6">
      <c r="A17" s="9"/>
      <c r="B17" s="11"/>
      <c r="C17" s="10"/>
      <c r="D17" s="11"/>
      <c r="E17" s="12"/>
      <c r="F17" s="12"/>
    </row>
    <row r="18" spans="1:6">
      <c r="A18" s="9"/>
      <c r="B18" s="9"/>
      <c r="C18" s="9"/>
      <c r="D18" s="9"/>
      <c r="E18" s="9"/>
      <c r="F18" s="9"/>
    </row>
    <row r="19" spans="1:6">
      <c r="A19" s="14" t="s">
        <v>104</v>
      </c>
      <c r="B19" s="9"/>
      <c r="C19" s="16"/>
      <c r="D19" s="16"/>
      <c r="E19" s="16"/>
      <c r="F19" s="16"/>
    </row>
    <row r="20" spans="1:6">
      <c r="A20" s="61" t="s">
        <v>4</v>
      </c>
      <c r="B20" s="9"/>
      <c r="C20" s="11"/>
      <c r="D20" s="11"/>
      <c r="E20" s="12"/>
      <c r="F20" s="12"/>
    </row>
    <row r="21" spans="1:6">
      <c r="A21" s="39" t="s">
        <v>3</v>
      </c>
      <c r="B21" s="9"/>
      <c r="C21" s="9"/>
      <c r="D21" s="9"/>
      <c r="E21" s="9"/>
      <c r="F21" s="9"/>
    </row>
    <row r="22" spans="1:6">
      <c r="A22" s="9" t="s">
        <v>331</v>
      </c>
      <c r="B22" s="10">
        <v>600000</v>
      </c>
      <c r="C22" s="9"/>
      <c r="D22" s="9"/>
      <c r="E22" s="9"/>
      <c r="F22" s="9"/>
    </row>
    <row r="23" spans="1:6">
      <c r="A23" s="9"/>
      <c r="B23" s="10"/>
      <c r="C23" s="9"/>
      <c r="D23" s="9"/>
      <c r="E23" s="9"/>
      <c r="F23" s="9"/>
    </row>
    <row r="24" spans="1:6">
      <c r="A24" s="9"/>
      <c r="B24" s="11">
        <f>SUM(B22:B23)</f>
        <v>600000</v>
      </c>
      <c r="C24" s="10">
        <f>B24</f>
        <v>600000</v>
      </c>
      <c r="D24" s="11">
        <v>382</v>
      </c>
      <c r="E24" s="12">
        <f>ROUND(B24/D24,0)</f>
        <v>1571</v>
      </c>
      <c r="F24" s="12">
        <f>ROUND(E24*1.15,0)</f>
        <v>1807</v>
      </c>
    </row>
    <row r="25" spans="1:6">
      <c r="A25" s="9"/>
      <c r="B25" s="9"/>
      <c r="C25" s="9"/>
      <c r="D25" s="9"/>
      <c r="E25" s="9"/>
      <c r="F25" s="9"/>
    </row>
    <row r="26" spans="1:6">
      <c r="A26" s="61" t="s">
        <v>4</v>
      </c>
      <c r="B26" s="9"/>
      <c r="C26" s="9"/>
      <c r="D26" s="9"/>
      <c r="E26" s="9"/>
      <c r="F26" s="9"/>
    </row>
    <row r="27" spans="1:6">
      <c r="A27" s="39" t="s">
        <v>2</v>
      </c>
      <c r="B27" s="9"/>
      <c r="C27" s="9"/>
      <c r="D27" s="9"/>
      <c r="E27" s="9"/>
      <c r="F27" s="9"/>
    </row>
    <row r="28" spans="1:6">
      <c r="A28" s="9" t="s">
        <v>307</v>
      </c>
      <c r="B28" s="11">
        <v>581117</v>
      </c>
      <c r="C28" s="10"/>
      <c r="D28" s="11"/>
      <c r="E28" s="12"/>
      <c r="F28" s="12"/>
    </row>
    <row r="29" spans="1:6">
      <c r="A29" s="9" t="s">
        <v>104</v>
      </c>
      <c r="B29" s="11">
        <f>952732+1263091</f>
        <v>2215823</v>
      </c>
      <c r="C29" s="10"/>
      <c r="D29" s="11"/>
      <c r="E29" s="12"/>
      <c r="F29" s="12"/>
    </row>
    <row r="30" spans="1:6">
      <c r="A30" s="9"/>
      <c r="B30" s="11"/>
      <c r="C30" s="10"/>
      <c r="D30" s="11"/>
      <c r="E30" s="12"/>
      <c r="F30" s="12"/>
    </row>
    <row r="31" spans="1:6">
      <c r="A31" s="9"/>
      <c r="B31" s="11">
        <f>SUM(B28:B30)</f>
        <v>2796940</v>
      </c>
      <c r="C31" s="10">
        <f>B31</f>
        <v>2796940</v>
      </c>
      <c r="D31" s="11">
        <v>382</v>
      </c>
      <c r="E31" s="12">
        <f>ROUND(B31/D31,0)</f>
        <v>7322</v>
      </c>
      <c r="F31" s="12">
        <f>ROUND(E31*1.15,0)</f>
        <v>8420</v>
      </c>
    </row>
    <row r="32" spans="1:6">
      <c r="A32" s="9"/>
      <c r="B32" s="11"/>
      <c r="C32" s="9"/>
      <c r="D32" s="9"/>
      <c r="E32" s="9"/>
      <c r="F32" s="9"/>
    </row>
    <row r="33" spans="1:6">
      <c r="A33" s="14" t="s">
        <v>184</v>
      </c>
      <c r="B33" s="11"/>
      <c r="C33" s="9"/>
      <c r="D33" s="9"/>
      <c r="E33" s="12">
        <f>SUM(E23:E32)</f>
        <v>8893</v>
      </c>
      <c r="F33" s="12">
        <f>SUM(F23:F32)</f>
        <v>10227</v>
      </c>
    </row>
  </sheetData>
  <customSheetViews>
    <customSheetView guid="{E62C39C8-EAA6-407C-933E-B5BB52ED1B14}" fitToPage="1">
      <selection activeCell="A8" sqref="A8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0" tint="-0.249977111117893"/>
    <pageSetUpPr fitToPage="1"/>
  </sheetPr>
  <dimension ref="A1:G11"/>
  <sheetViews>
    <sheetView workbookViewId="0">
      <selection activeCell="M21" sqref="M21"/>
    </sheetView>
  </sheetViews>
  <sheetFormatPr defaultColWidth="9.140625"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452</v>
      </c>
    </row>
    <row r="3" spans="1:7">
      <c r="A3" s="1" t="str">
        <f>'Cust water'!$A$3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>
      <c r="A5" s="61" t="s">
        <v>4</v>
      </c>
      <c r="B5" s="9"/>
      <c r="C5" s="11"/>
      <c r="D5" s="11"/>
      <c r="E5" s="12"/>
      <c r="F5" s="12"/>
    </row>
    <row r="6" spans="1:7">
      <c r="A6" s="39" t="s">
        <v>3</v>
      </c>
      <c r="B6" s="9"/>
      <c r="C6" s="9"/>
      <c r="D6" s="9"/>
      <c r="E6" s="9"/>
      <c r="F6" s="9"/>
    </row>
    <row r="7" spans="1:7">
      <c r="A7" s="9" t="s">
        <v>454</v>
      </c>
      <c r="B7" s="10">
        <v>1125000</v>
      </c>
      <c r="C7" s="9"/>
      <c r="D7" s="9"/>
      <c r="E7" s="9"/>
      <c r="F7" s="9"/>
    </row>
    <row r="8" spans="1:7">
      <c r="A8" s="9"/>
      <c r="B8" s="10"/>
      <c r="C8" s="9"/>
      <c r="D8" s="9"/>
      <c r="E8" s="9"/>
      <c r="F8" s="9"/>
    </row>
    <row r="9" spans="1:7">
      <c r="A9" s="9"/>
      <c r="B9" s="11">
        <f>SUM(B7:B8)</f>
        <v>1125000</v>
      </c>
      <c r="C9" s="10">
        <f>B9</f>
        <v>1125000</v>
      </c>
      <c r="D9" s="11">
        <v>30000</v>
      </c>
      <c r="E9" s="12">
        <f>ROUND(B9/D9,0)</f>
        <v>38</v>
      </c>
      <c r="F9" s="12">
        <f>ROUND(E9*1.15,0)</f>
        <v>44</v>
      </c>
      <c r="G9" s="4"/>
    </row>
    <row r="10" spans="1:7">
      <c r="A10" s="9"/>
      <c r="B10" s="11"/>
      <c r="C10" s="9"/>
      <c r="D10" s="9"/>
      <c r="E10" s="9"/>
      <c r="F10" s="9"/>
    </row>
    <row r="11" spans="1:7">
      <c r="A11" s="14" t="s">
        <v>184</v>
      </c>
      <c r="B11" s="11"/>
      <c r="C11" s="9"/>
      <c r="D11" s="9"/>
      <c r="E11" s="12">
        <f>SUM(E8:E10)</f>
        <v>38</v>
      </c>
      <c r="F11" s="12">
        <f>SUM(F8:F10)</f>
        <v>44</v>
      </c>
    </row>
  </sheetData>
  <pageMargins left="0.51181102362204722" right="0.51181102362204722" top="0.74803149606299213" bottom="0.74803149606299213" header="0.31496062992125984" footer="0.31496062992125984"/>
  <pageSetup paperSize="9" scale="84" fitToHeight="0" orientation="portrait" r:id="rId1"/>
  <headerFooter>
    <oddFooter>&amp;L&amp;"-,Bold"Waimakariri District Council&amp;C&amp;D&amp;RPage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0" tint="-0.249977111117893"/>
    <pageSetUpPr fitToPage="1"/>
  </sheetPr>
  <dimension ref="A1:F11"/>
  <sheetViews>
    <sheetView workbookViewId="0">
      <selection activeCell="I24" sqref="I24"/>
    </sheetView>
  </sheetViews>
  <sheetFormatPr defaultColWidth="9.140625"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453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61" t="s">
        <v>4</v>
      </c>
      <c r="B5" s="9"/>
      <c r="C5" s="11"/>
      <c r="D5" s="11"/>
      <c r="E5" s="12"/>
      <c r="F5" s="12"/>
    </row>
    <row r="6" spans="1:6">
      <c r="A6" s="39" t="s">
        <v>3</v>
      </c>
      <c r="B6" s="9"/>
      <c r="C6" s="9"/>
      <c r="D6" s="9"/>
      <c r="E6" s="9"/>
      <c r="F6" s="9"/>
    </row>
    <row r="7" spans="1:6">
      <c r="A7" s="9" t="s">
        <v>455</v>
      </c>
      <c r="B7" s="10">
        <v>375000</v>
      </c>
      <c r="C7" s="9"/>
      <c r="D7" s="9"/>
      <c r="E7" s="9"/>
      <c r="F7" s="9"/>
    </row>
    <row r="8" spans="1:6">
      <c r="A8" s="9"/>
      <c r="B8" s="10"/>
      <c r="C8" s="9"/>
      <c r="D8" s="9"/>
      <c r="E8" s="9"/>
      <c r="F8" s="9"/>
    </row>
    <row r="9" spans="1:6">
      <c r="A9" s="9"/>
      <c r="B9" s="11">
        <f>SUM(B7:B8)</f>
        <v>375000</v>
      </c>
      <c r="C9" s="10">
        <f>B9</f>
        <v>375000</v>
      </c>
      <c r="D9" s="11">
        <v>57500</v>
      </c>
      <c r="E9" s="12">
        <f>ROUND(B9/D9,2)</f>
        <v>6.52</v>
      </c>
      <c r="F9" s="12">
        <f>ROUND(E9*1.15,2)</f>
        <v>7.5</v>
      </c>
    </row>
    <row r="10" spans="1:6">
      <c r="A10" s="9"/>
      <c r="B10" s="11"/>
      <c r="C10" s="9"/>
      <c r="D10" s="9"/>
      <c r="E10" s="9"/>
      <c r="F10" s="9"/>
    </row>
    <row r="11" spans="1:6">
      <c r="A11" s="14" t="s">
        <v>184</v>
      </c>
      <c r="B11" s="11"/>
      <c r="C11" s="9"/>
      <c r="D11" s="9"/>
      <c r="E11" s="12">
        <f>SUM(E8:E10)</f>
        <v>6.52</v>
      </c>
      <c r="F11" s="12">
        <f>SUM(F8:F10)</f>
        <v>7.5</v>
      </c>
    </row>
  </sheetData>
  <pageMargins left="0.51181102362204722" right="0.51181102362204722" top="0.74803149606299213" bottom="0.74803149606299213" header="0.31496062992125984" footer="0.31496062992125984"/>
  <pageSetup paperSize="9" scale="84" fitToHeight="0" orientation="portrait" r:id="rId1"/>
  <headerFooter>
    <oddFooter>&amp;L&amp;"-,Bold"Waimakariri District Council&amp;C&amp;D&amp;RPage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0" tint="-0.249977111117893"/>
    <pageSetUpPr fitToPage="1"/>
  </sheetPr>
  <dimension ref="A1:F20"/>
  <sheetViews>
    <sheetView workbookViewId="0"/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224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6"/>
      <c r="D5" s="16"/>
      <c r="E5" s="16"/>
      <c r="F5" s="16"/>
    </row>
    <row r="6" spans="1:6">
      <c r="A6" s="61" t="s">
        <v>4</v>
      </c>
      <c r="B6" s="9"/>
      <c r="C6" s="11"/>
      <c r="D6" s="11"/>
      <c r="E6" s="12"/>
      <c r="F6" s="12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/>
      <c r="B8" s="10"/>
      <c r="C8" s="9"/>
      <c r="D8" s="9"/>
      <c r="E8" s="9"/>
      <c r="F8" s="9"/>
    </row>
    <row r="9" spans="1:6">
      <c r="A9" s="61" t="s">
        <v>4</v>
      </c>
      <c r="B9" s="10"/>
      <c r="C9" s="9"/>
      <c r="D9" s="9"/>
      <c r="E9" s="9"/>
      <c r="F9" s="9"/>
    </row>
    <row r="10" spans="1:6">
      <c r="A10" s="39" t="s">
        <v>2</v>
      </c>
      <c r="B10" s="10"/>
      <c r="C10" s="9"/>
      <c r="D10" s="9"/>
      <c r="E10" s="9"/>
      <c r="F10" s="9"/>
    </row>
    <row r="11" spans="1:6">
      <c r="A11" s="9" t="s">
        <v>16</v>
      </c>
      <c r="B11" s="10">
        <v>3147113</v>
      </c>
      <c r="C11" s="9"/>
      <c r="D11" s="9"/>
      <c r="E11" s="9"/>
      <c r="F11" s="9"/>
    </row>
    <row r="12" spans="1:6">
      <c r="A12" s="9"/>
      <c r="B12" s="10"/>
      <c r="C12" s="9"/>
      <c r="D12" s="9"/>
      <c r="E12" s="9"/>
      <c r="F12" s="9"/>
    </row>
    <row r="13" spans="1:6">
      <c r="A13" s="9"/>
      <c r="B13" s="11">
        <f>SUM(B8:B11)</f>
        <v>3147113</v>
      </c>
      <c r="C13" s="10">
        <f>B13</f>
        <v>3147113</v>
      </c>
      <c r="D13" s="11">
        <v>503</v>
      </c>
      <c r="E13" s="12">
        <f>ROUND(B13/D13,0)</f>
        <v>6257</v>
      </c>
      <c r="F13" s="12">
        <f>ROUND(E13*1.15,0)</f>
        <v>7196</v>
      </c>
    </row>
    <row r="14" spans="1:6">
      <c r="A14" s="9"/>
      <c r="B14" s="9"/>
      <c r="C14" s="9"/>
      <c r="D14" s="9"/>
      <c r="E14" s="9"/>
      <c r="F14" s="9"/>
    </row>
    <row r="15" spans="1:6">
      <c r="A15" s="9"/>
      <c r="B15" s="11"/>
      <c r="C15" s="10"/>
      <c r="D15" s="11"/>
      <c r="E15" s="12"/>
      <c r="F15" s="12"/>
    </row>
    <row r="16" spans="1:6">
      <c r="A16" s="9"/>
      <c r="B16" s="11"/>
      <c r="C16" s="9"/>
      <c r="D16" s="9"/>
      <c r="E16" s="9"/>
      <c r="F16" s="9"/>
    </row>
    <row r="17" spans="1:6">
      <c r="A17" s="14" t="s">
        <v>184</v>
      </c>
      <c r="B17" s="11"/>
      <c r="C17" s="9"/>
      <c r="D17" s="9"/>
      <c r="E17" s="12">
        <f>SUM(E10:E16)</f>
        <v>6257</v>
      </c>
      <c r="F17" s="12">
        <f>SUM(F10:F16)</f>
        <v>7196</v>
      </c>
    </row>
    <row r="18" spans="1:6">
      <c r="B18" s="4"/>
    </row>
    <row r="20" spans="1:6">
      <c r="B20" s="3"/>
      <c r="C20" s="2"/>
      <c r="D20" s="3"/>
      <c r="E20" s="4"/>
      <c r="F20" s="4"/>
    </row>
  </sheetData>
  <customSheetViews>
    <customSheetView guid="{E62C39C8-EAA6-407C-933E-B5BB52ED1B14}" fitToPage="1">
      <selection activeCell="A4" sqref="A4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0" tint="-0.249977111117893"/>
    <pageSetUpPr fitToPage="1"/>
  </sheetPr>
  <dimension ref="A1:F29"/>
  <sheetViews>
    <sheetView workbookViewId="0">
      <selection activeCell="J18" sqref="J18"/>
    </sheetView>
  </sheetViews>
  <sheetFormatPr defaultColWidth="9.140625"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451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6"/>
      <c r="D5" s="16"/>
      <c r="E5" s="16"/>
      <c r="F5" s="16"/>
    </row>
    <row r="6" spans="1:6">
      <c r="A6" s="61" t="s">
        <v>4</v>
      </c>
      <c r="B6" s="9"/>
      <c r="C6" s="11"/>
      <c r="D6" s="11"/>
      <c r="E6" s="12"/>
      <c r="F6" s="12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 t="s">
        <v>501</v>
      </c>
      <c r="B8" s="10">
        <v>6000000</v>
      </c>
      <c r="C8" s="9"/>
      <c r="D8" s="9"/>
      <c r="E8" s="9"/>
      <c r="F8" s="9"/>
    </row>
    <row r="9" spans="1:6">
      <c r="A9" s="9" t="s">
        <v>492</v>
      </c>
      <c r="B9" s="10"/>
      <c r="C9" s="9"/>
      <c r="D9" s="9"/>
      <c r="E9" s="9"/>
      <c r="F9" s="9"/>
    </row>
    <row r="10" spans="1:6">
      <c r="A10" s="9" t="s">
        <v>502</v>
      </c>
      <c r="B10" s="10">
        <v>220000</v>
      </c>
      <c r="C10" s="9"/>
      <c r="D10" s="9"/>
      <c r="E10" s="9"/>
      <c r="F10" s="9"/>
    </row>
    <row r="11" spans="1:6">
      <c r="A11" s="9" t="s">
        <v>571</v>
      </c>
      <c r="B11" s="10"/>
      <c r="C11" s="9"/>
      <c r="D11" s="9"/>
      <c r="E11" s="9"/>
      <c r="F11" s="9"/>
    </row>
    <row r="12" spans="1:6">
      <c r="A12" s="9"/>
      <c r="B12" s="10"/>
      <c r="C12" s="9"/>
      <c r="D12" s="9"/>
      <c r="E12" s="9"/>
      <c r="F12" s="9"/>
    </row>
    <row r="13" spans="1:6">
      <c r="A13" s="9"/>
      <c r="B13" s="11">
        <f>SUM(B8:B10)</f>
        <v>6220000</v>
      </c>
      <c r="C13" s="10">
        <f>B13</f>
        <v>6220000</v>
      </c>
      <c r="D13" s="11">
        <v>1350</v>
      </c>
      <c r="E13" s="12">
        <f>ROUND(B13/D13,0)</f>
        <v>4607</v>
      </c>
      <c r="F13" s="12">
        <f>ROUND(E13*1.15,0)</f>
        <v>5298</v>
      </c>
    </row>
    <row r="14" spans="1:6">
      <c r="A14" s="9"/>
      <c r="B14" s="9"/>
      <c r="C14" s="9"/>
      <c r="D14" s="9"/>
      <c r="E14" s="9"/>
      <c r="F14" s="9"/>
    </row>
    <row r="15" spans="1:6">
      <c r="A15" s="9"/>
      <c r="B15" s="11"/>
      <c r="C15" s="10"/>
      <c r="D15" s="11"/>
      <c r="E15" s="12"/>
      <c r="F15" s="12"/>
    </row>
    <row r="16" spans="1:6">
      <c r="A16" s="9"/>
      <c r="B16" s="11"/>
      <c r="C16" s="9"/>
      <c r="D16" s="9"/>
      <c r="E16" s="9"/>
      <c r="F16" s="9"/>
    </row>
    <row r="17" spans="1:6">
      <c r="A17" s="14" t="s">
        <v>184</v>
      </c>
      <c r="B17" s="11"/>
      <c r="C17" s="9"/>
      <c r="D17" s="9"/>
      <c r="E17" s="12">
        <f>SUM(E11:E16)</f>
        <v>4607</v>
      </c>
      <c r="F17" s="12">
        <f>SUM(F11:F16)</f>
        <v>5298</v>
      </c>
    </row>
    <row r="18" spans="1:6">
      <c r="B18" s="4"/>
    </row>
    <row r="20" spans="1:6">
      <c r="A20" s="14" t="s">
        <v>575</v>
      </c>
      <c r="B20" s="9"/>
      <c r="C20" s="16"/>
      <c r="D20" s="16"/>
      <c r="E20" s="16"/>
      <c r="F20" s="16"/>
    </row>
    <row r="21" spans="1:6">
      <c r="A21" s="61" t="s">
        <v>4</v>
      </c>
      <c r="B21" s="9"/>
      <c r="C21" s="11"/>
      <c r="D21" s="11"/>
      <c r="E21" s="12"/>
      <c r="F21" s="12"/>
    </row>
    <row r="22" spans="1:6">
      <c r="A22" s="39" t="s">
        <v>3</v>
      </c>
      <c r="B22" s="9"/>
      <c r="C22" s="9"/>
      <c r="D22" s="9"/>
      <c r="E22" s="9"/>
      <c r="F22" s="9"/>
    </row>
    <row r="23" spans="1:6">
      <c r="A23" s="9" t="s">
        <v>571</v>
      </c>
      <c r="B23" s="10">
        <f>0.25*35000000</f>
        <v>8750000</v>
      </c>
      <c r="C23" s="9"/>
      <c r="D23" s="9"/>
      <c r="E23" s="9"/>
      <c r="F23" s="9"/>
    </row>
    <row r="24" spans="1:6">
      <c r="A24" s="9"/>
      <c r="B24" s="10"/>
      <c r="C24" s="9"/>
      <c r="D24" s="9"/>
      <c r="E24" s="9"/>
      <c r="F24" s="9"/>
    </row>
    <row r="25" spans="1:6">
      <c r="A25" s="9"/>
      <c r="B25" s="11">
        <f>SUM(B23)</f>
        <v>8750000</v>
      </c>
      <c r="C25" s="10">
        <f>B25</f>
        <v>8750000</v>
      </c>
      <c r="D25" s="11">
        <v>2614</v>
      </c>
      <c r="E25" s="12">
        <f>ROUND(B25/D25,0)</f>
        <v>3347</v>
      </c>
      <c r="F25" s="12">
        <f>ROUND(E25*1.15,0)</f>
        <v>3849</v>
      </c>
    </row>
    <row r="26" spans="1:6">
      <c r="A26" s="9"/>
      <c r="B26" s="9"/>
      <c r="C26" s="9"/>
      <c r="D26" s="9"/>
      <c r="E26" s="9"/>
      <c r="F26" s="9"/>
    </row>
    <row r="27" spans="1:6">
      <c r="A27" s="9"/>
      <c r="B27" s="11"/>
      <c r="C27" s="10"/>
      <c r="D27" s="11"/>
      <c r="E27" s="12"/>
      <c r="F27" s="12"/>
    </row>
    <row r="28" spans="1:6">
      <c r="A28" s="9"/>
      <c r="B28" s="11"/>
      <c r="C28" s="9"/>
      <c r="D28" s="9"/>
      <c r="E28" s="9"/>
      <c r="F28" s="9"/>
    </row>
    <row r="29" spans="1:6">
      <c r="A29" s="14" t="s">
        <v>184</v>
      </c>
      <c r="B29" s="11"/>
      <c r="C29" s="9"/>
      <c r="D29" s="9"/>
      <c r="E29" s="12">
        <f>SUM(E23:E28)</f>
        <v>3347</v>
      </c>
      <c r="F29" s="12">
        <f>SUM(F23:F28)</f>
        <v>3849</v>
      </c>
    </row>
  </sheetData>
  <pageMargins left="0.51181102362204722" right="0.51181102362204722" top="0.74803149606299213" bottom="0.74803149606299213" header="0.31496062992125984" footer="0.31496062992125984"/>
  <pageSetup paperSize="9" scale="84" fitToHeight="0" orientation="portrait" r:id="rId1"/>
  <headerFooter>
    <oddFooter>&amp;L&amp;"-,Bold"Waimakariri District Council&amp;C&amp;D&amp;RPage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0" tint="-0.249977111117893"/>
    <pageSetUpPr fitToPage="1"/>
  </sheetPr>
  <dimension ref="A1:F21"/>
  <sheetViews>
    <sheetView topLeftCell="A3" workbookViewId="0">
      <selection activeCell="M24" sqref="M24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225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6"/>
      <c r="D5" s="16"/>
      <c r="E5" s="16"/>
      <c r="F5" s="16"/>
    </row>
    <row r="6" spans="1:6">
      <c r="A6" s="61" t="s">
        <v>4</v>
      </c>
      <c r="B6" s="9"/>
      <c r="C6" s="11"/>
      <c r="D6" s="11"/>
      <c r="E6" s="12"/>
      <c r="F6" s="12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 t="s">
        <v>101</v>
      </c>
      <c r="B8" s="10">
        <v>4975813</v>
      </c>
      <c r="C8" s="9"/>
      <c r="D8" s="9"/>
      <c r="E8" s="9"/>
      <c r="F8" s="9"/>
    </row>
    <row r="9" spans="1:6">
      <c r="A9" s="9"/>
      <c r="B9" s="10"/>
      <c r="C9" s="9"/>
      <c r="D9" s="9"/>
      <c r="E9" s="9"/>
      <c r="F9" s="9"/>
    </row>
    <row r="10" spans="1:6">
      <c r="A10" s="9"/>
      <c r="B10" s="11">
        <f>SUM(B8:B9)</f>
        <v>4975813</v>
      </c>
      <c r="C10" s="10">
        <f>B10</f>
        <v>4975813</v>
      </c>
      <c r="D10" s="10">
        <v>1800</v>
      </c>
      <c r="E10" s="12">
        <f>ROUND(B10/D10,0)</f>
        <v>2764</v>
      </c>
      <c r="F10" s="12">
        <f>ROUND(E10*1.15,0)</f>
        <v>3179</v>
      </c>
    </row>
    <row r="11" spans="1:6">
      <c r="A11" s="9"/>
      <c r="B11" s="9"/>
      <c r="C11" s="9"/>
      <c r="D11" s="9"/>
      <c r="E11" s="9"/>
      <c r="F11" s="9"/>
    </row>
    <row r="12" spans="1:6">
      <c r="A12" s="61" t="s">
        <v>4</v>
      </c>
      <c r="B12" s="9"/>
      <c r="C12" s="11"/>
      <c r="D12" s="11"/>
      <c r="E12" s="12"/>
      <c r="F12" s="12"/>
    </row>
    <row r="13" spans="1:6">
      <c r="A13" s="39" t="s">
        <v>2</v>
      </c>
      <c r="B13" s="9"/>
      <c r="C13" s="9"/>
      <c r="D13" s="9"/>
      <c r="E13" s="9"/>
      <c r="F13" s="9"/>
    </row>
    <row r="14" spans="1:6">
      <c r="A14" s="9" t="s">
        <v>101</v>
      </c>
      <c r="B14" s="10">
        <v>588590</v>
      </c>
      <c r="C14" s="9"/>
      <c r="D14" s="9"/>
      <c r="E14" s="9"/>
      <c r="F14" s="9"/>
    </row>
    <row r="15" spans="1:6">
      <c r="A15" s="9"/>
      <c r="B15" s="10"/>
      <c r="C15" s="9"/>
      <c r="D15" s="9"/>
      <c r="E15" s="9"/>
      <c r="F15" s="9"/>
    </row>
    <row r="16" spans="1:6">
      <c r="A16" s="9"/>
      <c r="B16" s="11">
        <f>SUM(B14:B15)</f>
        <v>588590</v>
      </c>
      <c r="C16" s="10">
        <f>B16</f>
        <v>588590</v>
      </c>
      <c r="D16" s="10">
        <v>1800</v>
      </c>
      <c r="E16" s="12">
        <f>ROUND(B16/D16,0)</f>
        <v>327</v>
      </c>
      <c r="F16" s="12">
        <f>ROUND(E16*1.15,0)</f>
        <v>376</v>
      </c>
    </row>
    <row r="17" spans="1:6">
      <c r="A17" s="14" t="s">
        <v>184</v>
      </c>
      <c r="B17" s="11"/>
      <c r="C17" s="9"/>
      <c r="D17" s="9"/>
      <c r="E17" s="12">
        <f>SUM(E9:E16)</f>
        <v>3091</v>
      </c>
      <c r="F17" s="12">
        <f>SUM(F9:F16)</f>
        <v>3555</v>
      </c>
    </row>
    <row r="18" spans="1:6">
      <c r="B18" s="4"/>
    </row>
    <row r="20" spans="1:6">
      <c r="B20" s="3"/>
      <c r="C20" s="2"/>
      <c r="D20" s="3"/>
      <c r="E20" s="4"/>
      <c r="F20" s="4"/>
    </row>
    <row r="21" spans="1:6">
      <c r="B21" s="4"/>
    </row>
  </sheetData>
  <customSheetViews>
    <customSheetView guid="{E62C39C8-EAA6-407C-933E-B5BB52ED1B14}" fitToPage="1">
      <selection activeCell="B8" sqref="B8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36" fitToHeight="0" orientation="portrait" r:id="rId2"/>
  <headerFooter>
    <oddFooter>&amp;L&amp;"-,Bold"Waimakariri District Council&amp;C&amp;D&amp;RPage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G22"/>
  <sheetViews>
    <sheetView workbookViewId="0">
      <selection activeCell="F10" sqref="F10"/>
    </sheetView>
  </sheetViews>
  <sheetFormatPr defaultColWidth="8.7109375" defaultRowHeight="15"/>
  <cols>
    <col min="1" max="1" width="45.71093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7">
      <c r="A1" s="1" t="s">
        <v>0</v>
      </c>
    </row>
    <row r="2" spans="1:7">
      <c r="A2" s="1" t="s">
        <v>464</v>
      </c>
    </row>
    <row r="3" spans="1:7">
      <c r="A3" s="1" t="str">
        <f>'Cust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7" ht="15.75" customHeight="1">
      <c r="A5" s="14" t="s">
        <v>4</v>
      </c>
      <c r="B5" s="9"/>
      <c r="C5" s="9"/>
      <c r="D5" s="9"/>
      <c r="E5" s="9"/>
      <c r="F5" s="9"/>
    </row>
    <row r="6" spans="1:7">
      <c r="A6" s="39" t="s">
        <v>3</v>
      </c>
      <c r="B6" s="9"/>
      <c r="C6" s="9"/>
      <c r="D6" s="9"/>
      <c r="E6" s="9"/>
      <c r="F6" s="9"/>
    </row>
    <row r="7" spans="1:7">
      <c r="A7" s="9" t="s">
        <v>264</v>
      </c>
      <c r="B7" s="45">
        <v>18000</v>
      </c>
      <c r="C7" s="41"/>
      <c r="D7" s="9"/>
      <c r="E7" s="9"/>
      <c r="F7" s="9"/>
    </row>
    <row r="8" spans="1:7">
      <c r="A8" s="9" t="s">
        <v>482</v>
      </c>
      <c r="B8" s="45">
        <f>19000-2000</f>
        <v>17000</v>
      </c>
      <c r="C8" s="41"/>
      <c r="D8" s="11"/>
      <c r="E8" s="88"/>
      <c r="F8" s="88"/>
    </row>
    <row r="9" spans="1:7">
      <c r="A9" s="9" t="s">
        <v>483</v>
      </c>
      <c r="B9" s="45">
        <f>19000+14000</f>
        <v>33000</v>
      </c>
      <c r="C9" s="41"/>
      <c r="D9" s="11"/>
      <c r="E9" s="88"/>
      <c r="F9" s="88"/>
    </row>
    <row r="10" spans="1:7">
      <c r="A10" s="9" t="s">
        <v>484</v>
      </c>
      <c r="B10" s="45">
        <v>33000</v>
      </c>
      <c r="C10" s="41"/>
      <c r="D10" s="11"/>
      <c r="E10" s="88"/>
      <c r="F10" s="88"/>
    </row>
    <row r="11" spans="1:7">
      <c r="A11" s="9"/>
      <c r="B11" s="11">
        <f>SUM(B7:B10)</f>
        <v>101000</v>
      </c>
      <c r="C11" s="54">
        <f>B11</f>
        <v>101000</v>
      </c>
      <c r="D11" s="11">
        <v>1138</v>
      </c>
      <c r="E11" s="88">
        <f>ROUND(B11/D11,0)</f>
        <v>89</v>
      </c>
      <c r="F11" s="88">
        <f>ROUND(E11*1.15,0)</f>
        <v>102</v>
      </c>
      <c r="G11" s="79"/>
    </row>
    <row r="12" spans="1:7">
      <c r="A12" s="39" t="s">
        <v>346</v>
      </c>
      <c r="B12" s="41"/>
      <c r="C12" s="41"/>
      <c r="D12" s="41"/>
      <c r="E12" s="41"/>
      <c r="F12" s="41"/>
    </row>
    <row r="13" spans="1:7">
      <c r="A13" s="9"/>
      <c r="B13" s="55"/>
      <c r="C13" s="41"/>
      <c r="D13" s="41"/>
      <c r="E13" s="41"/>
      <c r="F13" s="41"/>
    </row>
    <row r="14" spans="1:7">
      <c r="A14" s="9"/>
      <c r="B14" s="11">
        <f>SUM(B13:B13)</f>
        <v>0</v>
      </c>
      <c r="C14" s="54"/>
      <c r="D14" s="11">
        <v>1138</v>
      </c>
      <c r="E14" s="88">
        <f>ROUND(B14/D14,0)</f>
        <v>0</v>
      </c>
      <c r="F14" s="88">
        <f>ROUND(E14*1.15,0)</f>
        <v>0</v>
      </c>
    </row>
    <row r="15" spans="1:7">
      <c r="A15" s="9"/>
      <c r="B15" s="41"/>
      <c r="C15" s="41"/>
      <c r="D15" s="41"/>
      <c r="E15" s="41"/>
      <c r="F15" s="41"/>
    </row>
    <row r="16" spans="1:7">
      <c r="A16" s="9"/>
      <c r="B16" s="11"/>
      <c r="C16" s="41"/>
      <c r="D16" s="41"/>
      <c r="E16" s="41"/>
      <c r="F16" s="41"/>
    </row>
    <row r="17" spans="1:6">
      <c r="A17" s="14" t="s">
        <v>184</v>
      </c>
      <c r="B17" s="9"/>
      <c r="C17" s="9"/>
      <c r="D17" s="12"/>
      <c r="E17" s="12">
        <f>SUM(E4:E16)</f>
        <v>89</v>
      </c>
      <c r="F17" s="12">
        <f>SUM(F4:F16)</f>
        <v>102</v>
      </c>
    </row>
    <row r="21" spans="1:6">
      <c r="A21" s="87"/>
    </row>
    <row r="22" spans="1:6">
      <c r="A22" s="87"/>
    </row>
  </sheetData>
  <pageMargins left="0.51181102362204722" right="0.51181102362204722" top="0.74803149606299213" bottom="0.74803149606299213" header="0.31496062992125984" footer="0.31496062992125984"/>
  <pageSetup paperSize="9" scale="45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0" tint="-0.249977111117893"/>
    <pageSetUpPr fitToPage="1"/>
  </sheetPr>
  <dimension ref="A1:F17"/>
  <sheetViews>
    <sheetView workbookViewId="0">
      <selection activeCell="J12" sqref="J12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226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6"/>
      <c r="D5" s="16"/>
      <c r="E5" s="16"/>
      <c r="F5" s="16"/>
    </row>
    <row r="6" spans="1:6">
      <c r="A6" s="61" t="s">
        <v>4</v>
      </c>
      <c r="B6" s="9"/>
      <c r="C6" s="11"/>
      <c r="D6" s="11"/>
      <c r="E6" s="12"/>
      <c r="F6" s="12"/>
    </row>
    <row r="7" spans="1:6">
      <c r="A7" s="39" t="s">
        <v>2</v>
      </c>
      <c r="B7" s="9"/>
      <c r="C7" s="9"/>
      <c r="D7" s="9"/>
      <c r="E7" s="9"/>
      <c r="F7" s="9"/>
    </row>
    <row r="8" spans="1:6">
      <c r="A8" s="9" t="s">
        <v>105</v>
      </c>
      <c r="B8" s="10">
        <v>777550</v>
      </c>
      <c r="C8" s="9"/>
      <c r="D8" s="9"/>
      <c r="E8" s="9"/>
      <c r="F8" s="9"/>
    </row>
    <row r="9" spans="1:6">
      <c r="A9" s="9"/>
      <c r="B9" s="10"/>
      <c r="C9" s="9"/>
      <c r="D9" s="9"/>
      <c r="E9" s="9"/>
      <c r="F9" s="9"/>
    </row>
    <row r="10" spans="1:6">
      <c r="A10" s="9"/>
      <c r="B10" s="11">
        <f>SUM(B8:B9)</f>
        <v>777550</v>
      </c>
      <c r="C10" s="10">
        <f>B10</f>
        <v>777550</v>
      </c>
      <c r="D10" s="11">
        <v>1304635</v>
      </c>
      <c r="E10" s="12">
        <f>ROUND(C10/D10,2)</f>
        <v>0.6</v>
      </c>
      <c r="F10" s="12">
        <f>ROUNDUP(E10*1.15,2)</f>
        <v>0.69</v>
      </c>
    </row>
    <row r="11" spans="1:6">
      <c r="A11" s="9"/>
      <c r="B11" s="9"/>
      <c r="C11" s="9"/>
      <c r="D11" s="9"/>
      <c r="E11" s="9"/>
      <c r="F11" s="9"/>
    </row>
    <row r="12" spans="1:6">
      <c r="A12" s="9"/>
      <c r="B12" s="11"/>
      <c r="C12" s="10"/>
      <c r="D12" s="11"/>
      <c r="E12" s="12"/>
      <c r="F12" s="12"/>
    </row>
    <row r="13" spans="1:6">
      <c r="A13" s="9"/>
      <c r="B13" s="11"/>
      <c r="C13" s="9"/>
      <c r="D13" s="9"/>
      <c r="E13" s="9"/>
      <c r="F13" s="9"/>
    </row>
    <row r="14" spans="1:6">
      <c r="A14" s="14" t="s">
        <v>142</v>
      </c>
      <c r="B14" s="11"/>
      <c r="C14" s="9"/>
      <c r="D14" s="9"/>
      <c r="E14" s="12">
        <f>SUM(E9:E13)</f>
        <v>0.6</v>
      </c>
      <c r="F14" s="12">
        <f>SUM(F9:F13)</f>
        <v>0.69</v>
      </c>
    </row>
    <row r="15" spans="1:6">
      <c r="B15" s="4"/>
    </row>
    <row r="17" spans="2:6">
      <c r="B17" s="3"/>
      <c r="C17" s="2"/>
      <c r="D17" s="3"/>
      <c r="E17" s="4"/>
      <c r="F17" s="4"/>
    </row>
  </sheetData>
  <customSheetViews>
    <customSheetView guid="{E62C39C8-EAA6-407C-933E-B5BB52ED1B14}" fitToPage="1">
      <selection activeCell="L6" sqref="L6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48" fitToHeight="0" orientation="portrait" r:id="rId2"/>
  <headerFooter>
    <oddFooter>&amp;L&amp;"-,Bold"Waimakariri District Council&amp;C&amp;D&amp;RPage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0" tint="-0.249977111117893"/>
    <pageSetUpPr fitToPage="1"/>
  </sheetPr>
  <dimension ref="A1:F21"/>
  <sheetViews>
    <sheetView workbookViewId="0">
      <selection activeCell="M22" sqref="M22"/>
    </sheetView>
  </sheetViews>
  <sheetFormatPr defaultRowHeight="15"/>
  <cols>
    <col min="1" max="1" width="43.8554687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227</v>
      </c>
    </row>
    <row r="3" spans="1:6">
      <c r="A3" s="1" t="str">
        <f>'Cust water'!$A$3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9"/>
      <c r="B5" s="9"/>
      <c r="C5" s="16"/>
      <c r="D5" s="16"/>
      <c r="E5" s="16"/>
      <c r="F5" s="16"/>
    </row>
    <row r="6" spans="1:6">
      <c r="A6" s="61" t="s">
        <v>4</v>
      </c>
      <c r="B6" s="9"/>
      <c r="C6" s="11"/>
      <c r="D6" s="11"/>
      <c r="E6" s="12"/>
      <c r="F6" s="12"/>
    </row>
    <row r="7" spans="1:6">
      <c r="A7" s="39" t="s">
        <v>3</v>
      </c>
      <c r="B7" s="9"/>
      <c r="C7" s="9"/>
      <c r="D7" s="9"/>
      <c r="E7" s="9"/>
      <c r="F7" s="9"/>
    </row>
    <row r="8" spans="1:6">
      <c r="A8" s="9" t="s">
        <v>146</v>
      </c>
      <c r="B8" s="10">
        <v>1500000</v>
      </c>
      <c r="C8" s="9"/>
      <c r="D8" s="9"/>
      <c r="E8" s="9"/>
      <c r="F8" s="9"/>
    </row>
    <row r="9" spans="1:6">
      <c r="A9" s="9"/>
      <c r="B9" s="10"/>
      <c r="C9" s="9"/>
      <c r="D9" s="9"/>
      <c r="E9" s="9"/>
      <c r="F9" s="9"/>
    </row>
    <row r="10" spans="1:6">
      <c r="A10" s="9"/>
      <c r="B10" s="11">
        <f>SUM(B8:B9)</f>
        <v>1500000</v>
      </c>
      <c r="C10" s="10">
        <f>B10</f>
        <v>1500000</v>
      </c>
      <c r="D10" s="11">
        <v>286</v>
      </c>
      <c r="E10" s="12">
        <f>ROUND(B10/D10,0)</f>
        <v>5245</v>
      </c>
      <c r="F10" s="12">
        <f>ROUND(E10*1.15,0)</f>
        <v>6032</v>
      </c>
    </row>
    <row r="11" spans="1:6">
      <c r="A11" s="9"/>
      <c r="B11" s="11"/>
      <c r="C11" s="10"/>
      <c r="D11" s="11"/>
      <c r="E11" s="12"/>
      <c r="F11" s="12"/>
    </row>
    <row r="12" spans="1:6">
      <c r="A12" s="61" t="s">
        <v>4</v>
      </c>
      <c r="B12" s="11"/>
      <c r="C12" s="10"/>
      <c r="D12" s="11"/>
      <c r="E12" s="12"/>
      <c r="F12" s="12"/>
    </row>
    <row r="13" spans="1:6">
      <c r="A13" s="39" t="s">
        <v>2</v>
      </c>
      <c r="B13" s="11"/>
      <c r="C13" s="10"/>
      <c r="D13" s="11"/>
      <c r="E13" s="12"/>
      <c r="F13" s="12"/>
    </row>
    <row r="14" spans="1:6">
      <c r="A14" s="9" t="s">
        <v>146</v>
      </c>
      <c r="B14" s="11">
        <v>246237</v>
      </c>
      <c r="C14" s="10">
        <f>B14</f>
        <v>246237</v>
      </c>
      <c r="D14" s="11">
        <v>286</v>
      </c>
      <c r="E14" s="12">
        <f>ROUND(B14/D14,0)</f>
        <v>861</v>
      </c>
      <c r="F14" s="12">
        <f>ROUND(E14*1.15,0)</f>
        <v>990</v>
      </c>
    </row>
    <row r="15" spans="1:6">
      <c r="A15" s="9"/>
      <c r="B15" s="9"/>
      <c r="C15" s="9"/>
      <c r="D15" s="9"/>
      <c r="E15" s="9"/>
      <c r="F15" s="9"/>
    </row>
    <row r="16" spans="1:6">
      <c r="A16" s="9"/>
      <c r="B16" s="11"/>
      <c r="C16" s="10"/>
      <c r="D16" s="11"/>
      <c r="E16" s="12"/>
      <c r="F16" s="12"/>
    </row>
    <row r="17" spans="1:6">
      <c r="A17" s="9"/>
      <c r="B17" s="11"/>
      <c r="C17" s="9"/>
      <c r="D17" s="9"/>
      <c r="E17" s="9"/>
      <c r="F17" s="9"/>
    </row>
    <row r="18" spans="1:6">
      <c r="A18" s="14" t="s">
        <v>184</v>
      </c>
      <c r="B18" s="11"/>
      <c r="C18" s="9"/>
      <c r="D18" s="9"/>
      <c r="E18" s="12">
        <f>SUM(E9:E17)</f>
        <v>6106</v>
      </c>
      <c r="F18" s="12">
        <f>SUM(F9:F17)</f>
        <v>7022</v>
      </c>
    </row>
    <row r="19" spans="1:6">
      <c r="B19" s="4"/>
    </row>
    <row r="21" spans="1:6">
      <c r="B21" s="3"/>
      <c r="C21" s="2"/>
      <c r="D21" s="3"/>
      <c r="E21" s="4"/>
      <c r="F21" s="4"/>
    </row>
  </sheetData>
  <customSheetViews>
    <customSheetView guid="{E62C39C8-EAA6-407C-933E-B5BB52ED1B14}" fitToPage="1">
      <selection activeCell="A4" sqref="A4"/>
      <pageMargins left="0.51181102362204722" right="0.51181102362204722" top="0.74803149606299213" bottom="0.74803149606299213" header="0.31496062992125984" footer="0.31496062992125984"/>
      <pageSetup paperSize="9" scale="84" fitToHeight="0" orientation="portrait" r:id="rId1"/>
      <headerFooter>
        <oddFooter>&amp;L&amp;"-,Bold"Waimakariri District Council&amp;C&amp;D&amp;RPage &amp;P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scale="84" fitToHeight="0" orientation="portrait" r:id="rId2"/>
  <headerFooter>
    <oddFooter>&amp;L&amp;"-,Bold"Waimakariri District Council&amp;C&amp;D&amp;RPage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  <pageSetUpPr fitToPage="1"/>
  </sheetPr>
  <dimension ref="A1:K38"/>
  <sheetViews>
    <sheetView workbookViewId="0">
      <selection activeCell="O14" sqref="O14"/>
    </sheetView>
  </sheetViews>
  <sheetFormatPr defaultRowHeight="15"/>
  <cols>
    <col min="1" max="1" width="43.42578125" customWidth="1"/>
    <col min="3" max="3" width="11.5703125" bestFit="1" customWidth="1"/>
    <col min="4" max="4" width="15" customWidth="1"/>
    <col min="5" max="5" width="14.85546875" customWidth="1"/>
    <col min="6" max="6" width="13.28515625" customWidth="1"/>
    <col min="7" max="7" width="13" customWidth="1"/>
    <col min="10" max="10" width="11.28515625" bestFit="1" customWidth="1"/>
  </cols>
  <sheetData>
    <row r="1" spans="1:11">
      <c r="A1" s="1" t="s">
        <v>0</v>
      </c>
    </row>
    <row r="2" spans="1:11">
      <c r="A2" s="1" t="s">
        <v>20</v>
      </c>
    </row>
    <row r="3" spans="1:11">
      <c r="A3" s="1" t="str">
        <f>'Cust water'!$A$3</f>
        <v>2023-24 Budget for Annual Plan</v>
      </c>
    </row>
    <row r="4" spans="1:11">
      <c r="A4" s="1"/>
      <c r="B4" s="1"/>
    </row>
    <row r="5" spans="1:11" ht="75">
      <c r="A5" s="9"/>
      <c r="B5" s="14"/>
      <c r="C5" s="8" t="s">
        <v>34</v>
      </c>
      <c r="D5" s="8" t="s">
        <v>185</v>
      </c>
      <c r="E5" s="8" t="s">
        <v>186</v>
      </c>
      <c r="F5" s="8" t="s">
        <v>187</v>
      </c>
      <c r="G5" s="8" t="s">
        <v>183</v>
      </c>
    </row>
    <row r="6" spans="1:11">
      <c r="A6" s="9"/>
      <c r="B6" s="14"/>
      <c r="C6" s="9"/>
      <c r="D6" s="16"/>
      <c r="E6" s="16"/>
      <c r="F6" s="16"/>
      <c r="G6" s="16"/>
    </row>
    <row r="7" spans="1:11">
      <c r="A7" s="61" t="s">
        <v>181</v>
      </c>
      <c r="B7" s="14"/>
      <c r="C7" s="9"/>
      <c r="D7" s="16"/>
      <c r="E7" s="16"/>
      <c r="F7" s="16"/>
      <c r="G7" s="16"/>
      <c r="J7" s="139"/>
      <c r="K7" s="139"/>
    </row>
    <row r="8" spans="1:11">
      <c r="A8" s="61" t="s">
        <v>21</v>
      </c>
      <c r="B8" s="14"/>
      <c r="C8" s="9"/>
      <c r="D8" s="16"/>
      <c r="E8" s="16"/>
      <c r="F8" s="16"/>
      <c r="G8" s="16"/>
      <c r="J8" s="31"/>
      <c r="K8" s="31"/>
    </row>
    <row r="9" spans="1:11">
      <c r="A9" s="39" t="s">
        <v>3</v>
      </c>
      <c r="B9" s="9"/>
      <c r="C9" s="9"/>
      <c r="D9" s="9"/>
      <c r="E9" s="9"/>
      <c r="F9" s="9"/>
      <c r="J9" s="31"/>
      <c r="K9" s="31"/>
    </row>
    <row r="10" spans="1:11">
      <c r="A10" s="9" t="s">
        <v>23</v>
      </c>
      <c r="B10" s="25"/>
      <c r="C10" s="10">
        <v>2264424</v>
      </c>
      <c r="D10" s="10">
        <f>C10*0.9</f>
        <v>2037981.6</v>
      </c>
      <c r="E10" s="9"/>
      <c r="F10" s="9"/>
      <c r="G10" s="9"/>
      <c r="J10" s="31"/>
      <c r="K10" s="31"/>
    </row>
    <row r="11" spans="1:11">
      <c r="A11" s="9"/>
      <c r="B11" s="25"/>
      <c r="C11" s="10"/>
      <c r="D11" s="10"/>
      <c r="E11" s="9"/>
      <c r="F11" s="9"/>
      <c r="G11" s="9"/>
      <c r="J11" s="126"/>
      <c r="K11" s="31"/>
    </row>
    <row r="12" spans="1:11">
      <c r="A12" s="39" t="s">
        <v>318</v>
      </c>
      <c r="B12" s="25"/>
      <c r="C12" s="10"/>
      <c r="D12" s="9"/>
      <c r="E12" s="9"/>
      <c r="F12" s="9"/>
      <c r="G12" s="9"/>
      <c r="J12" s="31"/>
      <c r="K12" s="31"/>
    </row>
    <row r="13" spans="1:11">
      <c r="A13" s="9" t="s">
        <v>22</v>
      </c>
      <c r="B13" s="25"/>
      <c r="C13" s="10">
        <v>3485716</v>
      </c>
      <c r="D13" s="10">
        <f>C13</f>
        <v>3485716</v>
      </c>
      <c r="E13" s="9"/>
      <c r="F13" s="9"/>
      <c r="G13" s="9"/>
      <c r="J13" s="31"/>
      <c r="K13" s="31"/>
    </row>
    <row r="14" spans="1:11">
      <c r="A14" s="9" t="s">
        <v>24</v>
      </c>
      <c r="B14" s="25"/>
      <c r="C14" s="10">
        <v>990587</v>
      </c>
      <c r="D14" s="10">
        <f>C14</f>
        <v>990587</v>
      </c>
      <c r="E14" s="9"/>
      <c r="F14" s="9"/>
      <c r="G14" s="9"/>
      <c r="J14" s="31"/>
      <c r="K14" s="31"/>
    </row>
    <row r="15" spans="1:11">
      <c r="A15" s="9" t="s">
        <v>377</v>
      </c>
      <c r="B15" s="25"/>
      <c r="C15" s="10">
        <v>426623</v>
      </c>
      <c r="D15" s="10">
        <f>C15</f>
        <v>426623</v>
      </c>
      <c r="E15" s="9"/>
      <c r="F15" s="9"/>
      <c r="G15" s="9"/>
      <c r="J15" s="31"/>
      <c r="K15" s="31"/>
    </row>
    <row r="16" spans="1:11">
      <c r="A16" s="9" t="s">
        <v>461</v>
      </c>
      <c r="B16" s="25"/>
      <c r="C16" s="10">
        <v>9544</v>
      </c>
      <c r="D16" s="10">
        <f>C16</f>
        <v>9544</v>
      </c>
      <c r="E16" s="9"/>
      <c r="F16" s="9"/>
      <c r="G16" s="9"/>
      <c r="J16" s="31"/>
      <c r="K16" s="31"/>
    </row>
    <row r="17" spans="1:11">
      <c r="A17" s="9"/>
      <c r="B17" s="9"/>
      <c r="C17" s="11">
        <f>SUM(C10:C16)</f>
        <v>7176894</v>
      </c>
      <c r="D17" s="11">
        <f>SUM(D10:D16)</f>
        <v>6950451.5999999996</v>
      </c>
      <c r="E17" s="10">
        <v>4800</v>
      </c>
      <c r="F17" s="12">
        <f>ROUND(D17/E17,0)</f>
        <v>1448</v>
      </c>
      <c r="G17" s="12">
        <f>ROUND(F17*1.15,0)</f>
        <v>1665</v>
      </c>
      <c r="J17" s="31"/>
      <c r="K17" s="31"/>
    </row>
    <row r="18" spans="1:11">
      <c r="A18" s="14"/>
      <c r="B18" s="9"/>
      <c r="C18" s="9"/>
      <c r="D18" s="9"/>
      <c r="E18" s="10"/>
      <c r="F18" s="9"/>
      <c r="G18" s="9"/>
      <c r="J18" s="31"/>
      <c r="K18" s="31"/>
    </row>
    <row r="19" spans="1:11">
      <c r="A19" s="14"/>
      <c r="B19" s="14"/>
      <c r="C19" s="9"/>
      <c r="D19" s="9"/>
      <c r="E19" s="10"/>
      <c r="F19" s="9"/>
      <c r="G19" s="9"/>
      <c r="J19" s="31"/>
      <c r="K19" s="31"/>
    </row>
    <row r="20" spans="1:11">
      <c r="A20" s="61" t="s">
        <v>25</v>
      </c>
      <c r="B20" s="14"/>
      <c r="C20" s="9"/>
      <c r="D20" s="9"/>
      <c r="E20" s="10"/>
      <c r="F20" s="9"/>
      <c r="G20" s="9"/>
      <c r="J20" s="31"/>
      <c r="K20" s="31"/>
    </row>
    <row r="21" spans="1:11">
      <c r="A21" s="9" t="s">
        <v>26</v>
      </c>
      <c r="B21" s="9"/>
      <c r="C21" s="10">
        <v>23200000</v>
      </c>
      <c r="D21" s="9"/>
      <c r="E21" s="10"/>
      <c r="F21" s="9"/>
      <c r="G21" s="9"/>
      <c r="J21" s="31"/>
      <c r="K21" s="31"/>
    </row>
    <row r="22" spans="1:11">
      <c r="A22" s="9" t="s">
        <v>27</v>
      </c>
      <c r="B22" s="9"/>
      <c r="C22" s="10">
        <v>3400000</v>
      </c>
      <c r="D22" s="9"/>
      <c r="E22" s="10"/>
      <c r="F22" s="9"/>
      <c r="G22" s="9"/>
      <c r="J22" s="31"/>
      <c r="K22" s="31"/>
    </row>
    <row r="23" spans="1:11">
      <c r="A23" s="9"/>
      <c r="B23" s="9"/>
      <c r="C23" s="10">
        <f>SUM(C21:C22)</f>
        <v>26600000</v>
      </c>
      <c r="D23" s="10">
        <f>C23</f>
        <v>26600000</v>
      </c>
      <c r="E23" s="54">
        <v>1675</v>
      </c>
      <c r="F23" s="12">
        <f>ROUND(C23/E23,0)</f>
        <v>15881</v>
      </c>
      <c r="G23" s="12">
        <f>ROUND(F23*1.15,0)</f>
        <v>18263</v>
      </c>
      <c r="J23" s="31"/>
      <c r="K23" s="31"/>
    </row>
    <row r="24" spans="1:11">
      <c r="A24" s="9"/>
      <c r="B24" s="9"/>
      <c r="C24" s="11"/>
      <c r="D24" s="9"/>
      <c r="E24" s="9"/>
      <c r="F24" s="9"/>
      <c r="G24" s="9"/>
    </row>
    <row r="25" spans="1:11">
      <c r="A25" s="14" t="s">
        <v>228</v>
      </c>
      <c r="B25" s="9"/>
      <c r="C25" s="9"/>
      <c r="D25" s="9"/>
      <c r="E25" s="9"/>
      <c r="F25" s="12">
        <f>SUM(F10:F24)</f>
        <v>17329</v>
      </c>
      <c r="G25" s="12">
        <f>SUM(G10:G24)</f>
        <v>19928</v>
      </c>
    </row>
    <row r="26" spans="1:11">
      <c r="A26" s="9"/>
      <c r="B26" s="9"/>
      <c r="C26" s="9"/>
      <c r="D26" s="9"/>
      <c r="E26" s="9"/>
      <c r="F26" s="9"/>
      <c r="G26" s="9"/>
    </row>
    <row r="27" spans="1:11">
      <c r="A27" s="14" t="s">
        <v>30</v>
      </c>
      <c r="B27" s="9"/>
      <c r="C27" s="9"/>
      <c r="D27" s="9"/>
      <c r="E27" s="9"/>
      <c r="F27" s="9"/>
      <c r="G27" s="9"/>
    </row>
    <row r="28" spans="1:11">
      <c r="A28" s="9" t="s">
        <v>31</v>
      </c>
      <c r="B28" s="9"/>
      <c r="C28" s="26">
        <v>337000</v>
      </c>
      <c r="D28" s="9"/>
      <c r="E28" s="9"/>
      <c r="F28" s="9"/>
      <c r="G28" s="9"/>
    </row>
    <row r="29" spans="1:11">
      <c r="A29" s="9"/>
      <c r="B29" s="18">
        <v>7.4999999999999997E-2</v>
      </c>
      <c r="C29" s="27">
        <f>C28*B29</f>
        <v>25275</v>
      </c>
      <c r="D29" s="9"/>
      <c r="E29" s="9"/>
      <c r="F29" s="9"/>
      <c r="G29" s="9"/>
    </row>
    <row r="30" spans="1:11">
      <c r="A30" s="9"/>
      <c r="B30" s="9"/>
      <c r="C30" s="9"/>
      <c r="D30" s="9"/>
      <c r="E30" s="9"/>
      <c r="F30" s="9"/>
      <c r="G30" s="9"/>
    </row>
    <row r="31" spans="1:11">
      <c r="A31" s="14" t="s">
        <v>184</v>
      </c>
      <c r="B31" s="14"/>
      <c r="C31" s="9"/>
      <c r="D31" s="9"/>
      <c r="E31" s="9"/>
      <c r="F31" s="28">
        <f>ROUND(G31/1.15,0)</f>
        <v>17329</v>
      </c>
      <c r="G31" s="29">
        <f>MIN(C29,G25)</f>
        <v>19928</v>
      </c>
    </row>
    <row r="32" spans="1:11">
      <c r="A32" s="15" t="s">
        <v>229</v>
      </c>
      <c r="B32" s="9"/>
      <c r="C32" s="9"/>
      <c r="D32" s="9"/>
      <c r="E32" s="9"/>
      <c r="F32" s="9"/>
      <c r="G32" s="9"/>
    </row>
    <row r="33" spans="1:7">
      <c r="A33" s="15"/>
      <c r="B33" s="9"/>
      <c r="C33" s="9"/>
      <c r="D33" s="9"/>
      <c r="E33" s="9"/>
      <c r="F33" s="9"/>
      <c r="G33" s="9"/>
    </row>
    <row r="34" spans="1:7">
      <c r="A34" s="15"/>
      <c r="B34" s="9"/>
      <c r="C34" s="9"/>
      <c r="D34" s="9"/>
      <c r="E34" s="9"/>
      <c r="F34" s="9"/>
      <c r="G34" s="9"/>
    </row>
    <row r="35" spans="1:7">
      <c r="A35" s="9"/>
      <c r="B35" s="9"/>
      <c r="C35" s="9"/>
      <c r="D35" s="9"/>
      <c r="E35" s="9"/>
      <c r="F35" s="9"/>
      <c r="G35" s="9"/>
    </row>
    <row r="36" spans="1:7">
      <c r="A36" s="14" t="s">
        <v>28</v>
      </c>
      <c r="B36" s="9"/>
      <c r="C36" s="9"/>
      <c r="D36" s="9"/>
      <c r="E36" s="9"/>
      <c r="F36" s="12">
        <f>F17</f>
        <v>1448</v>
      </c>
      <c r="G36" s="12">
        <f>ROUND(F36*1.15,0)</f>
        <v>1665</v>
      </c>
    </row>
    <row r="37" spans="1:7">
      <c r="A37" s="9" t="s">
        <v>29</v>
      </c>
      <c r="B37" s="9"/>
      <c r="C37" s="9"/>
      <c r="D37" s="9"/>
      <c r="E37" s="9"/>
      <c r="F37" s="9"/>
      <c r="G37" s="9"/>
    </row>
    <row r="38" spans="1:7">
      <c r="C38" s="4"/>
    </row>
  </sheetData>
  <customSheetViews>
    <customSheetView guid="{E62C39C8-EAA6-407C-933E-B5BB52ED1B14}" fitToPage="1">
      <selection activeCell="A36" sqref="A36"/>
      <pageMargins left="0.51181102362204722" right="0.51181102362204722" top="0.74803149606299213" bottom="0.74803149606299213" header="0.31496062992125984" footer="0.31496062992125984"/>
      <pageSetup paperSize="9" scale="76" orientation="portrait" r:id="rId1"/>
      <headerFooter>
        <oddFooter>&amp;L&amp;"-,Bold"Waimakariri District Council &amp;C&amp;D&amp;RPage &amp;P</oddFooter>
      </headerFooter>
    </customSheetView>
  </customSheetViews>
  <mergeCells count="1">
    <mergeCell ref="J7:K7"/>
  </mergeCells>
  <pageMargins left="0.51181102362204722" right="0.51181102362204722" top="0.74803149606299213" bottom="0.74803149606299213" header="0.31496062992125984" footer="0.31496062992125984"/>
  <pageSetup paperSize="9" scale="58" orientation="portrait" r:id="rId2"/>
  <headerFooter>
    <oddFooter>&amp;L&amp;"-,Bold"Waimakariri District Council 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F18"/>
  <sheetViews>
    <sheetView topLeftCell="A4" workbookViewId="0">
      <selection activeCell="E27" sqref="E27"/>
    </sheetView>
  </sheetViews>
  <sheetFormatPr defaultRowHeight="15"/>
  <cols>
    <col min="1" max="1" width="53.28515625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</cols>
  <sheetData>
    <row r="1" spans="1:6">
      <c r="A1" s="1" t="s">
        <v>0</v>
      </c>
    </row>
    <row r="2" spans="1:6">
      <c r="A2" s="1" t="s">
        <v>190</v>
      </c>
    </row>
    <row r="3" spans="1:6">
      <c r="A3" s="1" t="str">
        <f>'Cust water'!A3</f>
        <v>2023-24 Budget for Annual Plan</v>
      </c>
    </row>
    <row r="4" spans="1:6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</row>
    <row r="5" spans="1:6">
      <c r="A5" s="14" t="s">
        <v>4</v>
      </c>
      <c r="B5" s="9"/>
      <c r="C5" s="9"/>
      <c r="D5" s="9"/>
      <c r="E5" s="9"/>
      <c r="F5" s="9"/>
    </row>
    <row r="6" spans="1:6">
      <c r="A6" s="39" t="s">
        <v>3</v>
      </c>
      <c r="B6" s="9"/>
      <c r="C6" s="9"/>
      <c r="D6" s="9"/>
      <c r="E6" s="9"/>
      <c r="F6" s="9"/>
    </row>
    <row r="7" spans="1:6">
      <c r="A7" s="9" t="s">
        <v>485</v>
      </c>
      <c r="B7" s="45">
        <v>41000</v>
      </c>
      <c r="C7" s="41"/>
      <c r="D7" s="41"/>
      <c r="E7" s="41"/>
      <c r="F7" s="41"/>
    </row>
    <row r="8" spans="1:6">
      <c r="A8" s="9" t="s">
        <v>477</v>
      </c>
      <c r="B8" s="45">
        <v>309000</v>
      </c>
      <c r="C8" s="41"/>
      <c r="D8" s="41"/>
      <c r="E8" s="41"/>
      <c r="F8" s="41"/>
    </row>
    <row r="9" spans="1:6">
      <c r="A9" s="9"/>
      <c r="B9" s="94">
        <f>SUM(B7:B8)</f>
        <v>350000</v>
      </c>
      <c r="C9" s="54">
        <f>B9</f>
        <v>350000</v>
      </c>
      <c r="D9" s="41">
        <v>401.5</v>
      </c>
      <c r="E9" s="54">
        <f>ROUND(C9/D9,0)</f>
        <v>872</v>
      </c>
      <c r="F9" s="95">
        <f>ROUND(E9*1.15,0)</f>
        <v>1003</v>
      </c>
    </row>
    <row r="10" spans="1:6">
      <c r="A10" s="9"/>
      <c r="B10" s="54"/>
      <c r="C10" s="41"/>
      <c r="D10" s="41"/>
      <c r="E10" s="41"/>
      <c r="F10" s="41"/>
    </row>
    <row r="11" spans="1:6">
      <c r="A11" s="39" t="s">
        <v>345</v>
      </c>
      <c r="B11" s="54"/>
      <c r="C11" s="41"/>
      <c r="D11" s="41"/>
      <c r="E11" s="41"/>
      <c r="F11" s="41"/>
    </row>
    <row r="12" spans="1:6">
      <c r="A12" s="9" t="s">
        <v>265</v>
      </c>
      <c r="B12" s="54">
        <v>306744</v>
      </c>
      <c r="C12" s="41"/>
      <c r="D12" s="41"/>
      <c r="E12" s="41"/>
      <c r="F12" s="41"/>
    </row>
    <row r="13" spans="1:6">
      <c r="A13" s="16" t="s">
        <v>247</v>
      </c>
      <c r="B13" s="54">
        <v>480947</v>
      </c>
      <c r="C13" s="41"/>
      <c r="D13" s="41"/>
      <c r="E13" s="41"/>
      <c r="F13" s="41"/>
    </row>
    <row r="14" spans="1:6">
      <c r="A14" s="9" t="s">
        <v>263</v>
      </c>
      <c r="B14" s="45">
        <v>167000</v>
      </c>
      <c r="C14" s="41"/>
      <c r="D14" s="41"/>
      <c r="E14" s="41"/>
      <c r="F14" s="41"/>
    </row>
    <row r="15" spans="1:6">
      <c r="B15" s="11">
        <f>SUM(B12:B14)</f>
        <v>954691</v>
      </c>
      <c r="C15" s="54">
        <f>B15</f>
        <v>954691</v>
      </c>
      <c r="D15" s="115">
        <v>401.5</v>
      </c>
      <c r="E15" s="88">
        <f>ROUND(B15/D15,0)</f>
        <v>2378</v>
      </c>
      <c r="F15" s="88">
        <f>ROUND(E15*1.15,0)</f>
        <v>2735</v>
      </c>
    </row>
    <row r="16" spans="1:6">
      <c r="A16" s="9"/>
      <c r="B16" s="9"/>
      <c r="C16" s="9"/>
      <c r="D16" s="9"/>
      <c r="E16" s="9"/>
      <c r="F16" s="9"/>
    </row>
    <row r="17" spans="1:6">
      <c r="A17" s="9"/>
      <c r="B17" s="11"/>
      <c r="C17" s="9"/>
      <c r="D17" s="9"/>
      <c r="E17" s="9"/>
      <c r="F17" s="9"/>
    </row>
    <row r="18" spans="1:6">
      <c r="A18" s="14" t="s">
        <v>184</v>
      </c>
      <c r="B18" s="9"/>
      <c r="C18" s="9"/>
      <c r="D18" s="12"/>
      <c r="E18" s="12">
        <f>SUM(E4:E17)</f>
        <v>3250</v>
      </c>
      <c r="F18" s="12">
        <f>SUM(F4:F17)</f>
        <v>3738</v>
      </c>
    </row>
  </sheetData>
  <customSheetViews>
    <customSheetView guid="{E62C39C8-EAA6-407C-933E-B5BB52ED1B14}" fitToPage="1"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</customSheetView>
  </customSheetViews>
  <pageMargins left="0.51181102362204722" right="0.51181102362204722" top="0.74803149606299213" bottom="0.74803149606299213" header="0.31496062992125984" footer="0.31496062992125984"/>
  <pageSetup paperSize="9" scale="45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G26"/>
  <sheetViews>
    <sheetView workbookViewId="0">
      <selection activeCell="H11" sqref="H11"/>
    </sheetView>
  </sheetViews>
  <sheetFormatPr defaultRowHeight="15"/>
  <cols>
    <col min="1" max="1" width="47" customWidth="1"/>
    <col min="2" max="2" width="11.5703125" bestFit="1" customWidth="1"/>
    <col min="3" max="3" width="14.7109375" customWidth="1"/>
    <col min="4" max="4" width="14" customWidth="1"/>
    <col min="5" max="5" width="13.28515625" customWidth="1"/>
    <col min="6" max="6" width="12" customWidth="1"/>
    <col min="7" max="7" width="43" customWidth="1"/>
  </cols>
  <sheetData>
    <row r="1" spans="1:7">
      <c r="A1" s="1" t="s">
        <v>0</v>
      </c>
    </row>
    <row r="2" spans="1:7">
      <c r="A2" s="1" t="s">
        <v>40</v>
      </c>
    </row>
    <row r="3" spans="1:7">
      <c r="A3" s="1" t="str">
        <f>'Cust water'!A3</f>
        <v>2023-24 Budget for Annual Plan</v>
      </c>
    </row>
    <row r="4" spans="1:7" ht="90">
      <c r="A4" s="9"/>
      <c r="B4" s="8" t="s">
        <v>34</v>
      </c>
      <c r="C4" s="8" t="s">
        <v>185</v>
      </c>
      <c r="D4" s="8" t="s">
        <v>186</v>
      </c>
      <c r="E4" s="8" t="s">
        <v>187</v>
      </c>
      <c r="F4" s="8" t="s">
        <v>183</v>
      </c>
      <c r="G4" s="43"/>
    </row>
    <row r="5" spans="1:7">
      <c r="A5" s="9"/>
      <c r="B5" s="9"/>
      <c r="C5" s="11"/>
      <c r="D5" s="11"/>
      <c r="E5" s="12"/>
      <c r="F5" s="12"/>
      <c r="G5" s="4"/>
    </row>
    <row r="6" spans="1:7" ht="15.75" customHeight="1">
      <c r="A6" s="14" t="s">
        <v>4</v>
      </c>
      <c r="B6" s="9"/>
      <c r="C6" s="9"/>
      <c r="D6" s="9"/>
      <c r="E6" s="9"/>
      <c r="F6" s="9"/>
    </row>
    <row r="7" spans="1:7">
      <c r="A7" s="39" t="s">
        <v>3</v>
      </c>
      <c r="B7" s="9"/>
      <c r="C7" s="9"/>
      <c r="D7" s="9"/>
      <c r="E7" s="9"/>
      <c r="F7" s="9"/>
    </row>
    <row r="8" spans="1:7">
      <c r="A8" s="41" t="s">
        <v>383</v>
      </c>
      <c r="B8" s="91">
        <v>25000</v>
      </c>
      <c r="C8" s="41"/>
      <c r="D8" s="41"/>
      <c r="E8" s="41"/>
      <c r="F8" s="41"/>
    </row>
    <row r="9" spans="1:7">
      <c r="A9" s="41" t="s">
        <v>573</v>
      </c>
      <c r="B9" s="91">
        <v>40000</v>
      </c>
      <c r="C9" s="41"/>
      <c r="D9" s="41"/>
      <c r="E9" s="41"/>
      <c r="F9" s="41"/>
    </row>
    <row r="10" spans="1:7">
      <c r="A10" s="41"/>
      <c r="B10" s="11">
        <f>SUM(B8:B9)</f>
        <v>65000</v>
      </c>
      <c r="C10" s="11">
        <f>B10</f>
        <v>65000</v>
      </c>
      <c r="D10" s="91">
        <v>285</v>
      </c>
      <c r="E10" s="88">
        <f>ROUNDDOWN(B10/D10,0)</f>
        <v>228</v>
      </c>
      <c r="F10" s="88">
        <f>ROUND(E10*1.15,0)</f>
        <v>262</v>
      </c>
    </row>
    <row r="11" spans="1:7">
      <c r="A11" s="41"/>
      <c r="B11" s="91"/>
      <c r="C11" s="41"/>
      <c r="D11" s="41"/>
      <c r="E11" s="41"/>
      <c r="F11" s="41"/>
    </row>
    <row r="12" spans="1:7">
      <c r="A12" s="39" t="s">
        <v>7</v>
      </c>
      <c r="B12" s="121"/>
      <c r="C12" s="41"/>
      <c r="D12" s="41"/>
      <c r="E12" s="41"/>
      <c r="F12" s="41"/>
    </row>
    <row r="13" spans="1:7">
      <c r="A13" s="41" t="s">
        <v>382</v>
      </c>
      <c r="B13" s="91">
        <v>64306</v>
      </c>
      <c r="C13" s="11">
        <f>B13</f>
        <v>64306</v>
      </c>
      <c r="D13" s="91">
        <v>285</v>
      </c>
      <c r="E13" s="88">
        <f>ROUNDDOWN(B13/D13,0)</f>
        <v>225</v>
      </c>
      <c r="F13" s="88">
        <f>ROUND(E13*1.15,0)</f>
        <v>259</v>
      </c>
    </row>
    <row r="14" spans="1:7">
      <c r="A14" s="15"/>
      <c r="C14" s="41"/>
      <c r="D14" s="41"/>
      <c r="E14" s="41"/>
      <c r="F14" s="41"/>
      <c r="G14" s="4"/>
    </row>
    <row r="15" spans="1:7">
      <c r="A15" s="14" t="s">
        <v>6</v>
      </c>
      <c r="B15" s="41"/>
      <c r="C15" s="41"/>
      <c r="D15" s="41"/>
      <c r="E15" s="41"/>
      <c r="F15" s="41"/>
    </row>
    <row r="16" spans="1:7">
      <c r="A16" s="39" t="s">
        <v>3</v>
      </c>
      <c r="B16" s="41"/>
      <c r="C16" s="41"/>
      <c r="D16" s="41"/>
      <c r="E16" s="41"/>
      <c r="F16" s="41"/>
    </row>
    <row r="17" spans="1:7">
      <c r="A17" s="41" t="s">
        <v>266</v>
      </c>
      <c r="B17" s="91">
        <v>520000</v>
      </c>
      <c r="C17" s="41"/>
      <c r="D17" s="91">
        <v>2646</v>
      </c>
      <c r="E17" s="88">
        <f>ROUNDUP(B17/D17,0)</f>
        <v>197</v>
      </c>
      <c r="F17" s="88">
        <f>ROUND(E17*1.15,0)</f>
        <v>227</v>
      </c>
    </row>
    <row r="18" spans="1:7">
      <c r="A18" s="41" t="s">
        <v>321</v>
      </c>
      <c r="B18" s="91">
        <v>1010000</v>
      </c>
      <c r="C18" s="41"/>
      <c r="D18" s="91">
        <v>2358</v>
      </c>
      <c r="E18" s="88">
        <f>ROUNDUP(B18/D18,0)</f>
        <v>429</v>
      </c>
      <c r="F18" s="88">
        <f>ROUND(E18*1.15,0)</f>
        <v>493</v>
      </c>
    </row>
    <row r="19" spans="1:7">
      <c r="A19" s="9"/>
      <c r="B19" s="11"/>
      <c r="C19" s="11"/>
      <c r="D19" s="41"/>
      <c r="E19" s="41"/>
      <c r="F19" s="41"/>
      <c r="G19" s="4"/>
    </row>
    <row r="20" spans="1:7">
      <c r="A20" s="39" t="s">
        <v>7</v>
      </c>
      <c r="B20" s="41"/>
      <c r="C20" s="41"/>
      <c r="D20" s="41"/>
      <c r="E20" s="41"/>
      <c r="F20" s="41"/>
    </row>
    <row r="21" spans="1:7">
      <c r="A21" s="9" t="s">
        <v>41</v>
      </c>
      <c r="B21" s="11">
        <v>781972</v>
      </c>
      <c r="C21" s="41"/>
      <c r="D21" s="91">
        <v>2646</v>
      </c>
      <c r="E21" s="88">
        <f>ROUNDUP(B21/D21,0)</f>
        <v>296</v>
      </c>
      <c r="F21" s="88">
        <f>ROUND(E21*1.15,0)</f>
        <v>340</v>
      </c>
    </row>
    <row r="22" spans="1:7">
      <c r="A22" s="9" t="s">
        <v>267</v>
      </c>
      <c r="B22" s="11">
        <v>215477</v>
      </c>
      <c r="C22" s="41"/>
      <c r="D22" s="41"/>
      <c r="E22" s="41"/>
      <c r="F22" s="41"/>
    </row>
    <row r="23" spans="1:7">
      <c r="A23" s="9" t="s">
        <v>268</v>
      </c>
      <c r="B23" s="11">
        <v>49391</v>
      </c>
      <c r="C23" s="41"/>
      <c r="D23" s="41"/>
      <c r="E23" s="41"/>
      <c r="F23" s="41"/>
    </row>
    <row r="24" spans="1:7">
      <c r="A24" s="9"/>
      <c r="B24" s="54">
        <f>SUM(B22:B23)</f>
        <v>264868</v>
      </c>
      <c r="C24" s="11">
        <f>ROUND(D10/D24*B24,0)</f>
        <v>32013</v>
      </c>
      <c r="D24" s="91">
        <v>2358</v>
      </c>
      <c r="E24" s="88">
        <f>ROUND(B24/D24,0)</f>
        <v>112</v>
      </c>
      <c r="F24" s="88">
        <f>ROUND(E24*1.15,0)</f>
        <v>129</v>
      </c>
      <c r="G24" s="4"/>
    </row>
    <row r="25" spans="1:7">
      <c r="A25" s="9"/>
      <c r="B25" s="11"/>
      <c r="C25" s="41"/>
      <c r="D25" s="88"/>
      <c r="E25" s="41"/>
      <c r="F25" s="41"/>
    </row>
    <row r="26" spans="1:7">
      <c r="A26" s="14" t="s">
        <v>188</v>
      </c>
      <c r="B26" s="9"/>
      <c r="C26" s="9"/>
      <c r="D26" s="12"/>
      <c r="E26" s="12">
        <f>SUM(E10:E25)</f>
        <v>1487</v>
      </c>
      <c r="F26" s="12">
        <f>SUM(F10:F25)</f>
        <v>1710</v>
      </c>
      <c r="G26" s="4"/>
    </row>
  </sheetData>
  <customSheetViews>
    <customSheetView guid="{E62C39C8-EAA6-407C-933E-B5BB52ED1B14}" fitToPage="1">
      <selection activeCell="E17" sqref="E17"/>
      <pageMargins left="0.51181102362204722" right="0.51181102362204722" top="0.74803149606299213" bottom="0.74803149606299213" header="0.31496062992125984" footer="0.31496062992125984"/>
      <pageSetup paperSize="9" scale="87" fitToHeight="0" orientation="portrait" r:id="rId1"/>
    </customSheetView>
  </customSheetViews>
  <pageMargins left="0.51181102362204722" right="0.51181102362204722" top="0.74803149606299213" bottom="0.74803149606299213" header="0.31496062992125984" footer="0.31496062992125984"/>
  <pageSetup paperSize="9" scale="2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3</vt:i4>
      </vt:variant>
    </vt:vector>
  </HeadingPairs>
  <TitlesOfParts>
    <vt:vector size="75" baseType="lpstr">
      <vt:lpstr>Contents</vt:lpstr>
      <vt:lpstr>Cust water</vt:lpstr>
      <vt:lpstr>Fernside water</vt:lpstr>
      <vt:lpstr>Garrymere water</vt:lpstr>
      <vt:lpstr>Kaiapoi water</vt:lpstr>
      <vt:lpstr>North East Kaiapoi water</vt:lpstr>
      <vt:lpstr>ENE Kaiapoi water</vt:lpstr>
      <vt:lpstr>West Kaiapoi water</vt:lpstr>
      <vt:lpstr>Mandeville water</vt:lpstr>
      <vt:lpstr>Ohoka water</vt:lpstr>
      <vt:lpstr>Oxford water</vt:lpstr>
      <vt:lpstr>Oxford 1 water</vt:lpstr>
      <vt:lpstr>Oxford 2 water</vt:lpstr>
      <vt:lpstr>Poyntzs Rd water</vt:lpstr>
      <vt:lpstr>Rangiora water</vt:lpstr>
      <vt:lpstr>East Rangiora water</vt:lpstr>
      <vt:lpstr>North Rangiora water</vt:lpstr>
      <vt:lpstr>West Rangiora water</vt:lpstr>
      <vt:lpstr>Outer East Rangiora water</vt:lpstr>
      <vt:lpstr>Summerhill water</vt:lpstr>
      <vt:lpstr>Tuahiwi water</vt:lpstr>
      <vt:lpstr>Waikuku water</vt:lpstr>
      <vt:lpstr>Southbrook water</vt:lpstr>
      <vt:lpstr>West Eyreton water</vt:lpstr>
      <vt:lpstr>Woodend water</vt:lpstr>
      <vt:lpstr>Woodend Tuahiwi water</vt:lpstr>
      <vt:lpstr>Ocean Outfall sewer</vt:lpstr>
      <vt:lpstr>Kaiapoi sewer</vt:lpstr>
      <vt:lpstr>Nth Kaiapoi SPA sewer</vt:lpstr>
      <vt:lpstr>East Nth East Kaiapoi sewer</vt:lpstr>
      <vt:lpstr>West Kaiapoi SPA sewer</vt:lpstr>
      <vt:lpstr>Mandeville Ohoka Swannanoa</vt:lpstr>
      <vt:lpstr>Oxford Sewer</vt:lpstr>
      <vt:lpstr>Rangiora Sewer</vt:lpstr>
      <vt:lpstr>East Rangiora Sewer</vt:lpstr>
      <vt:lpstr>Outer East Rangiora Sewer</vt:lpstr>
      <vt:lpstr>North Rangiora Sewer</vt:lpstr>
      <vt:lpstr>Inner West Rangiora Sewer</vt:lpstr>
      <vt:lpstr>Outer West Rangiora Sewer</vt:lpstr>
      <vt:lpstr>Southbrook Sewer</vt:lpstr>
      <vt:lpstr>Todds Rd Sewer</vt:lpstr>
      <vt:lpstr>Fernside</vt:lpstr>
      <vt:lpstr>Tuahiwi</vt:lpstr>
      <vt:lpstr>Waikuku Sewer</vt:lpstr>
      <vt:lpstr>Woodend sewer</vt:lpstr>
      <vt:lpstr>East Woodend sewer</vt:lpstr>
      <vt:lpstr>Loburn Lea Sewer</vt:lpstr>
      <vt:lpstr>Coastal Urban Drainage</vt:lpstr>
      <vt:lpstr>Kaiapoi Drainage</vt:lpstr>
      <vt:lpstr>Kaiapoi Area A Drainage</vt:lpstr>
      <vt:lpstr>East North East Kaiapoi</vt:lpstr>
      <vt:lpstr>Kaiapoi Area E Drainage</vt:lpstr>
      <vt:lpstr>Rangiora Drainage</vt:lpstr>
      <vt:lpstr>East Rangiora Drainage</vt:lpstr>
      <vt:lpstr>Sth West Rangiora Drainage</vt:lpstr>
      <vt:lpstr>Nth Rangiora Drainage</vt:lpstr>
      <vt:lpstr>Mill Road ODP</vt:lpstr>
      <vt:lpstr>Southbrook Drainage</vt:lpstr>
      <vt:lpstr>Todds Rd Drainage</vt:lpstr>
      <vt:lpstr>East Woodend Drainage</vt:lpstr>
      <vt:lpstr>Woodend SPA Drainage</vt:lpstr>
      <vt:lpstr>Dist Roading</vt:lpstr>
      <vt:lpstr>North Kaiapoi Roading</vt:lpstr>
      <vt:lpstr>West Kaiapoi Roading</vt:lpstr>
      <vt:lpstr>Kaiapoi South MUBA </vt:lpstr>
      <vt:lpstr>Kaiapoi East MUBA </vt:lpstr>
      <vt:lpstr>Sth West Rangiora Roading</vt:lpstr>
      <vt:lpstr>Outer East Rangiora Roading</vt:lpstr>
      <vt:lpstr>West Rangiora Roading</vt:lpstr>
      <vt:lpstr>Southbrook Roading</vt:lpstr>
      <vt:lpstr>East Woodend Roading</vt:lpstr>
      <vt:lpstr>Reserves</vt:lpstr>
      <vt:lpstr>Contents!Print_Area</vt:lpstr>
      <vt:lpstr>'Dist Roading'!Print_Area</vt:lpstr>
      <vt:lpstr>Contents!Print_Titles</vt:lpstr>
    </vt:vector>
  </TitlesOfParts>
  <Company>Waimakariri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Christensen</dc:creator>
  <cp:lastModifiedBy>Andrew Hegarty</cp:lastModifiedBy>
  <cp:lastPrinted>2023-01-24T04:53:33Z</cp:lastPrinted>
  <dcterms:created xsi:type="dcterms:W3CDTF">2014-06-04T02:05:01Z</dcterms:created>
  <dcterms:modified xsi:type="dcterms:W3CDTF">2023-06-26T03:07:16Z</dcterms:modified>
</cp:coreProperties>
</file>