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8.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9.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13.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14.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S:\DPU\Rezonings\Development Capacity Tracking\Formative information\Development capacity uptake reports\"/>
    </mc:Choice>
  </mc:AlternateContent>
  <xr:revisionPtr revIDLastSave="0" documentId="13_ncr:1_{0DD237BB-2944-4BA5-927F-62A6289196CB}" xr6:coauthVersionLast="47" xr6:coauthVersionMax="47" xr10:uidLastSave="{00000000-0000-0000-0000-000000000000}"/>
  <bookViews>
    <workbookView xWindow="-120" yWindow="-120" windowWidth="29040" windowHeight="15225" tabRatio="710" xr2:uid="{00000000-000D-0000-FFFF-FFFF00000000}"/>
  </bookViews>
  <sheets>
    <sheet name="Notes" sheetId="39" r:id="rId1"/>
    <sheet name="MDRS" sheetId="41" r:id="rId2"/>
    <sheet name="CRD" sheetId="40" r:id="rId3"/>
    <sheet name="APRIL 2024" sheetId="36" r:id="rId4"/>
    <sheet name="QUARTER   - OCT 2022 RES" sheetId="35" r:id="rId5"/>
    <sheet name="QUARTER 1 - JUL-SEP 2022 RES" sheetId="34" r:id="rId6"/>
    <sheet name="QUARTER 3 - JAN-MAR 2022 RES" sheetId="33" r:id="rId7"/>
    <sheet name="QUARTER 1 - JUL-SEPT 2021 RES" sheetId="32" r:id="rId8"/>
    <sheet name="QUARTER 4 - APR-JUN 2021 RES" sheetId="31" r:id="rId9"/>
    <sheet name="QUARTER 3 - JAN-MAR 2021 RES" sheetId="30" r:id="rId10"/>
    <sheet name="QUARTER 2 - OCT-DEC 2020 RES" sheetId="29" r:id="rId11"/>
    <sheet name="QUARTER 1 - JUL-SEPT 2020 RES" sheetId="28" r:id="rId12"/>
    <sheet name="QUARTER 4 - APR-JUN 2020 RES" sheetId="27" r:id="rId13"/>
    <sheet name="QUARTER 3 - JAN-MAR 2020 RES" sheetId="26" r:id="rId14"/>
    <sheet name="QUARTER 2 - OCT-DEC 2019 RES" sheetId="25" r:id="rId15"/>
    <sheet name="QUARTER 1 - JUL-SEPY 2019 RES" sheetId="24" r:id="rId16"/>
    <sheet name="QUARTER 4 - APR-JUN 2019 RES" sheetId="23" r:id="rId17"/>
    <sheet name="QUARTER 3 - JAN-MAR 2019 RES" sheetId="22" r:id="rId18"/>
    <sheet name="QUARTER 2 - OCT-DEC 2018 RES" sheetId="21" r:id="rId19"/>
    <sheet name="QUARTER 1 - JUL-SEPT 2018 RES" sheetId="19" r:id="rId20"/>
    <sheet name="QUARTER 4 - APR-JUN 2018 RES" sheetId="17" r:id="rId21"/>
    <sheet name="QUARTER 3 - JAN-MAR 2018 RES" sheetId="15" r:id="rId22"/>
    <sheet name="QUARTER 2- OCT-DEC 2017 RES" sheetId="14" r:id="rId23"/>
    <sheet name="QUARTER 1-JULY - SEPT 2017 RES" sheetId="11" r:id="rId24"/>
    <sheet name="QUARTER 4 - APR - JUNE 2017 RES" sheetId="9" r:id="rId25"/>
    <sheet name="QUARTER 3 - JAN - MAR 2017 RES " sheetId="7" r:id="rId26"/>
    <sheet name="QUARTER 2 - OCT to DEC 2016 RES" sheetId="6" r:id="rId27"/>
    <sheet name="QUARTER 1 - JUL - SEP 2016 RES" sheetId="4" r:id="rId28"/>
    <sheet name="Appendix 1" sheetId="42"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4" i="35" l="1"/>
  <c r="J5" i="35"/>
  <c r="J6" i="35"/>
  <c r="J9" i="35"/>
  <c r="J10" i="35"/>
  <c r="J11" i="35"/>
  <c r="J12" i="35"/>
  <c r="J14" i="35"/>
  <c r="J18" i="35"/>
  <c r="J19" i="35"/>
  <c r="J21" i="35"/>
  <c r="J22" i="35"/>
  <c r="H17" i="41"/>
  <c r="H16" i="41"/>
  <c r="H15" i="41"/>
  <c r="H14" i="41"/>
  <c r="H13" i="41"/>
  <c r="H12" i="41"/>
  <c r="H11" i="41"/>
  <c r="H10" i="41"/>
  <c r="H9" i="41"/>
  <c r="H8" i="41"/>
  <c r="H7" i="41"/>
  <c r="H6" i="41"/>
  <c r="H5" i="41"/>
  <c r="H4" i="41"/>
  <c r="H3" i="41"/>
  <c r="H2" i="41"/>
  <c r="L65" i="40"/>
  <c r="M65" i="40" s="1"/>
  <c r="M64" i="40"/>
  <c r="L64" i="40"/>
  <c r="L63" i="40"/>
  <c r="M63" i="40" s="1"/>
  <c r="G61" i="40"/>
  <c r="G60" i="40"/>
  <c r="G59" i="40"/>
  <c r="G58" i="40"/>
  <c r="G57" i="40"/>
  <c r="G56" i="40"/>
  <c r="G55" i="40"/>
  <c r="G54" i="40"/>
  <c r="G53" i="40"/>
  <c r="G52" i="40"/>
  <c r="G51" i="40"/>
  <c r="G50" i="40"/>
  <c r="G49" i="40"/>
  <c r="G48" i="40"/>
  <c r="G47" i="40"/>
  <c r="G46" i="40"/>
  <c r="G45" i="40"/>
  <c r="G44" i="40"/>
  <c r="G43" i="40"/>
  <c r="G42" i="40"/>
  <c r="G41" i="40"/>
  <c r="G40" i="40"/>
  <c r="G39" i="40"/>
  <c r="G38" i="40"/>
  <c r="G37" i="40"/>
  <c r="G36" i="40"/>
  <c r="G35" i="40"/>
  <c r="M34" i="40"/>
  <c r="L33" i="40"/>
  <c r="M33" i="40" s="1"/>
  <c r="L32" i="40"/>
  <c r="M32" i="40" s="1"/>
  <c r="M31" i="40"/>
  <c r="L31" i="40"/>
  <c r="G29" i="40"/>
  <c r="G28" i="40"/>
  <c r="G27" i="40"/>
  <c r="G26" i="40"/>
  <c r="G25" i="40"/>
  <c r="G24" i="40"/>
  <c r="G23" i="40"/>
  <c r="G22" i="40"/>
  <c r="G21" i="40"/>
  <c r="G20" i="40"/>
  <c r="G19" i="40"/>
  <c r="G18" i="40"/>
  <c r="G17" i="40"/>
  <c r="G16" i="40"/>
  <c r="G15" i="40"/>
  <c r="L13" i="40"/>
  <c r="M13" i="40" s="1"/>
  <c r="L12" i="40"/>
  <c r="M12" i="40" s="1"/>
  <c r="G10" i="40"/>
  <c r="G9" i="40"/>
  <c r="G8" i="40"/>
  <c r="G7" i="40"/>
  <c r="G6" i="40"/>
  <c r="G5" i="40"/>
  <c r="G4" i="40"/>
  <c r="G3" i="40"/>
  <c r="G2" i="40"/>
  <c r="I13" i="36" l="1"/>
  <c r="M22" i="36"/>
  <c r="M21" i="36"/>
  <c r="M20" i="36"/>
  <c r="M19" i="36"/>
  <c r="M17" i="36"/>
  <c r="M16" i="36"/>
  <c r="M15" i="36"/>
  <c r="M13" i="36"/>
  <c r="M12" i="36"/>
  <c r="M11" i="36"/>
  <c r="M10" i="36"/>
  <c r="M9" i="36"/>
  <c r="M8" i="36"/>
  <c r="M7" i="36"/>
  <c r="M6" i="36"/>
  <c r="M5" i="36"/>
  <c r="M4" i="36"/>
  <c r="M3" i="36"/>
  <c r="K22" i="36"/>
  <c r="K21" i="36"/>
  <c r="K20" i="36"/>
  <c r="K19" i="36"/>
  <c r="K17" i="36"/>
  <c r="K16" i="36"/>
  <c r="K15" i="36"/>
  <c r="K13" i="36"/>
  <c r="K12" i="36"/>
  <c r="K11" i="36"/>
  <c r="K10" i="36"/>
  <c r="K9" i="36"/>
  <c r="K8" i="36"/>
  <c r="K7" i="36"/>
  <c r="K6" i="36"/>
  <c r="K5" i="36"/>
  <c r="K4" i="36"/>
  <c r="K3" i="36"/>
  <c r="B13" i="36"/>
  <c r="C13" i="36"/>
  <c r="E13" i="36"/>
  <c r="D13" i="36"/>
  <c r="G13" i="36"/>
  <c r="N13" i="36" s="1"/>
  <c r="K23" i="36" l="1"/>
  <c r="I23" i="35" l="1"/>
  <c r="L13" i="36"/>
  <c r="J23" i="36"/>
  <c r="J21" i="34"/>
  <c r="J19" i="34"/>
  <c r="J18" i="34"/>
  <c r="J14" i="34"/>
  <c r="J12" i="34"/>
  <c r="J11" i="34"/>
  <c r="J10" i="34"/>
  <c r="J9" i="34"/>
  <c r="J6" i="34"/>
  <c r="J5" i="34"/>
  <c r="J4" i="34"/>
  <c r="J21" i="33"/>
  <c r="J19" i="33"/>
  <c r="J18" i="33"/>
  <c r="J14" i="33"/>
  <c r="J12" i="33"/>
  <c r="J11" i="33"/>
  <c r="J10" i="33"/>
  <c r="J9" i="33"/>
  <c r="J6" i="33"/>
  <c r="J5" i="33"/>
  <c r="J4" i="33"/>
  <c r="J22" i="32"/>
  <c r="J22" i="34"/>
  <c r="J22" i="33"/>
  <c r="I22" i="32"/>
  <c r="J22" i="31"/>
  <c r="J22" i="30"/>
  <c r="J22" i="29"/>
  <c r="J22" i="28"/>
  <c r="J22" i="26"/>
  <c r="J22" i="25"/>
  <c r="J22" i="24"/>
  <c r="J22" i="23"/>
  <c r="J22" i="22"/>
  <c r="J22" i="21"/>
  <c r="J22" i="19"/>
  <c r="J22" i="17"/>
  <c r="J22" i="15"/>
  <c r="J22" i="14"/>
  <c r="J22" i="11"/>
  <c r="J22" i="9"/>
  <c r="J22" i="7"/>
  <c r="J21" i="32"/>
  <c r="J19" i="32"/>
  <c r="J18" i="32"/>
  <c r="J17" i="32"/>
  <c r="J14" i="32"/>
  <c r="J13" i="32"/>
  <c r="J12" i="32"/>
  <c r="J11" i="32"/>
  <c r="J10" i="32"/>
  <c r="J9" i="32"/>
  <c r="J6" i="32"/>
  <c r="J5" i="32"/>
  <c r="J4" i="32"/>
  <c r="I22" i="26"/>
  <c r="I22" i="17"/>
  <c r="I22" i="15"/>
  <c r="I22" i="14"/>
  <c r="D23" i="36"/>
  <c r="B23" i="36"/>
  <c r="E22" i="36"/>
  <c r="C22" i="36"/>
  <c r="E21" i="36"/>
  <c r="C21" i="36"/>
  <c r="E20" i="36"/>
  <c r="C20" i="36"/>
  <c r="E19" i="36"/>
  <c r="C19" i="36"/>
  <c r="E17" i="36"/>
  <c r="C17" i="36"/>
  <c r="E16" i="36"/>
  <c r="C16" i="36"/>
  <c r="E15" i="36"/>
  <c r="C15" i="36"/>
  <c r="E12" i="36"/>
  <c r="C12" i="36"/>
  <c r="E11" i="36"/>
  <c r="C11" i="36"/>
  <c r="E10" i="36"/>
  <c r="C10" i="36"/>
  <c r="E9" i="36"/>
  <c r="C9" i="36"/>
  <c r="E8" i="36"/>
  <c r="C8" i="36"/>
  <c r="E7" i="36"/>
  <c r="C7" i="36"/>
  <c r="E6" i="36"/>
  <c r="C6" i="36"/>
  <c r="E5" i="36"/>
  <c r="C5" i="36"/>
  <c r="E4" i="36"/>
  <c r="C4" i="36"/>
  <c r="E3" i="36"/>
  <c r="C3" i="36"/>
  <c r="D23" i="35"/>
  <c r="B23" i="35"/>
  <c r="E21" i="35"/>
  <c r="C21" i="35"/>
  <c r="E20" i="35"/>
  <c r="C20" i="35"/>
  <c r="E19" i="35"/>
  <c r="C19" i="35"/>
  <c r="E18" i="35"/>
  <c r="C18" i="35"/>
  <c r="E16" i="35"/>
  <c r="C16" i="35"/>
  <c r="E15" i="35"/>
  <c r="C15" i="35"/>
  <c r="E14" i="35"/>
  <c r="C14" i="35"/>
  <c r="E12" i="35"/>
  <c r="C12" i="35"/>
  <c r="E11" i="35"/>
  <c r="C11" i="35"/>
  <c r="E10" i="35"/>
  <c r="C10" i="35"/>
  <c r="E9" i="35"/>
  <c r="C9" i="35"/>
  <c r="E8" i="35"/>
  <c r="C8" i="35"/>
  <c r="E7" i="35"/>
  <c r="C7" i="35"/>
  <c r="E6" i="35"/>
  <c r="C6" i="35"/>
  <c r="E5" i="35"/>
  <c r="C5" i="35"/>
  <c r="E4" i="35"/>
  <c r="C4" i="35"/>
  <c r="E3" i="35"/>
  <c r="C3" i="35"/>
  <c r="I22" i="34"/>
  <c r="D22" i="34"/>
  <c r="B22" i="34"/>
  <c r="E21" i="34"/>
  <c r="C21" i="34"/>
  <c r="E20" i="34"/>
  <c r="F20" i="34" s="1"/>
  <c r="C20" i="34"/>
  <c r="G20" i="34" s="1"/>
  <c r="H20" i="34" s="1"/>
  <c r="E19" i="34"/>
  <c r="C19" i="34"/>
  <c r="F19" i="34" s="1"/>
  <c r="E18" i="34"/>
  <c r="C18" i="34"/>
  <c r="G18" i="34" s="1"/>
  <c r="H18" i="34" s="1"/>
  <c r="E16" i="34"/>
  <c r="C16" i="34"/>
  <c r="G16" i="34" s="1"/>
  <c r="H16" i="34" s="1"/>
  <c r="E15" i="34"/>
  <c r="F15" i="34" s="1"/>
  <c r="C15" i="34"/>
  <c r="E14" i="34"/>
  <c r="F14" i="34" s="1"/>
  <c r="C14" i="34"/>
  <c r="E12" i="34"/>
  <c r="C12" i="34"/>
  <c r="E11" i="34"/>
  <c r="C11" i="34"/>
  <c r="G11" i="34" s="1"/>
  <c r="H11" i="34" s="1"/>
  <c r="E10" i="34"/>
  <c r="C10" i="34"/>
  <c r="G10" i="34" s="1"/>
  <c r="H10" i="34" s="1"/>
  <c r="E9" i="34"/>
  <c r="C9" i="34"/>
  <c r="G9" i="34" s="1"/>
  <c r="H9" i="34" s="1"/>
  <c r="E8" i="34"/>
  <c r="G8" i="34" s="1"/>
  <c r="H8" i="34" s="1"/>
  <c r="C8" i="34"/>
  <c r="E7" i="34"/>
  <c r="F7" i="34" s="1"/>
  <c r="C7" i="34"/>
  <c r="E6" i="34"/>
  <c r="C6" i="34"/>
  <c r="G6" i="34" s="1"/>
  <c r="H6" i="34" s="1"/>
  <c r="E5" i="34"/>
  <c r="C5" i="34"/>
  <c r="G5" i="34" s="1"/>
  <c r="H5" i="34" s="1"/>
  <c r="E4" i="34"/>
  <c r="C4" i="34"/>
  <c r="E3" i="34"/>
  <c r="C3" i="34"/>
  <c r="G3" i="34" s="1"/>
  <c r="H3" i="34" s="1"/>
  <c r="I22" i="33"/>
  <c r="D22" i="33"/>
  <c r="B22" i="33"/>
  <c r="E21" i="33"/>
  <c r="C21" i="33"/>
  <c r="G21" i="33" s="1"/>
  <c r="H21" i="33" s="1"/>
  <c r="E20" i="33"/>
  <c r="F20" i="33" s="1"/>
  <c r="C20" i="33"/>
  <c r="G20" i="33" s="1"/>
  <c r="H20" i="33" s="1"/>
  <c r="E19" i="33"/>
  <c r="C19" i="33"/>
  <c r="E18" i="33"/>
  <c r="C18" i="33"/>
  <c r="G18" i="33" s="1"/>
  <c r="H18" i="33" s="1"/>
  <c r="E16" i="33"/>
  <c r="C16" i="33"/>
  <c r="E15" i="33"/>
  <c r="C15" i="33"/>
  <c r="E14" i="33"/>
  <c r="F14" i="33" s="1"/>
  <c r="C14" i="33"/>
  <c r="E12" i="33"/>
  <c r="C12" i="33"/>
  <c r="G12" i="33" s="1"/>
  <c r="H12" i="33" s="1"/>
  <c r="E11" i="33"/>
  <c r="F11" i="33" s="1"/>
  <c r="C11" i="33"/>
  <c r="E10" i="33"/>
  <c r="C10" i="33"/>
  <c r="E9" i="33"/>
  <c r="C9" i="33"/>
  <c r="E8" i="33"/>
  <c r="C8" i="33"/>
  <c r="E7" i="33"/>
  <c r="F7" i="33" s="1"/>
  <c r="C7" i="33"/>
  <c r="E6" i="33"/>
  <c r="C6" i="33"/>
  <c r="E5" i="33"/>
  <c r="C5" i="33"/>
  <c r="E4" i="33"/>
  <c r="F4" i="33" s="1"/>
  <c r="C4" i="33"/>
  <c r="E3" i="33"/>
  <c r="C3" i="33"/>
  <c r="G7" i="36" l="1"/>
  <c r="G15" i="36"/>
  <c r="G11" i="36"/>
  <c r="N11" i="36" s="1"/>
  <c r="G20" i="36"/>
  <c r="N20" i="36" s="1"/>
  <c r="G22" i="36"/>
  <c r="N22" i="36" s="1"/>
  <c r="F12" i="36"/>
  <c r="G16" i="33"/>
  <c r="H16" i="33" s="1"/>
  <c r="C22" i="33"/>
  <c r="F10" i="33"/>
  <c r="G6" i="33"/>
  <c r="H6" i="33" s="1"/>
  <c r="G19" i="33"/>
  <c r="H19" i="33" s="1"/>
  <c r="F8" i="33"/>
  <c r="F21" i="33"/>
  <c r="F9" i="33"/>
  <c r="F15" i="33"/>
  <c r="F3" i="34"/>
  <c r="G15" i="34"/>
  <c r="H15" i="34" s="1"/>
  <c r="G12" i="34"/>
  <c r="H12" i="34" s="1"/>
  <c r="G7" i="34"/>
  <c r="F21" i="34"/>
  <c r="F6" i="34"/>
  <c r="F12" i="34"/>
  <c r="F10" i="34"/>
  <c r="F11" i="34"/>
  <c r="G14" i="34"/>
  <c r="H14" i="34" s="1"/>
  <c r="G19" i="34"/>
  <c r="H19" i="34" s="1"/>
  <c r="F16" i="34"/>
  <c r="F4" i="34"/>
  <c r="E22" i="34"/>
  <c r="F9" i="34"/>
  <c r="F18" i="34"/>
  <c r="F5" i="34"/>
  <c r="G21" i="34"/>
  <c r="H21" i="34" s="1"/>
  <c r="G8" i="36"/>
  <c r="G19" i="36"/>
  <c r="N19" i="36" s="1"/>
  <c r="G9" i="36"/>
  <c r="G17" i="36"/>
  <c r="F4" i="36"/>
  <c r="F22" i="36"/>
  <c r="G10" i="36"/>
  <c r="N10" i="36" s="1"/>
  <c r="G6" i="36"/>
  <c r="N6" i="36" s="1"/>
  <c r="G21" i="36"/>
  <c r="N21" i="36" s="1"/>
  <c r="F15" i="36"/>
  <c r="G16" i="36"/>
  <c r="G4" i="36"/>
  <c r="C23" i="36"/>
  <c r="F7" i="36"/>
  <c r="G12" i="36"/>
  <c r="N12" i="36" s="1"/>
  <c r="F20" i="36"/>
  <c r="F8" i="36"/>
  <c r="F21" i="36"/>
  <c r="F9" i="36"/>
  <c r="E23" i="36"/>
  <c r="G3" i="36"/>
  <c r="F16" i="36"/>
  <c r="G5" i="36"/>
  <c r="F17" i="36"/>
  <c r="F11" i="36"/>
  <c r="F6" i="36"/>
  <c r="F19" i="36"/>
  <c r="F3" i="36"/>
  <c r="F5" i="36"/>
  <c r="F10" i="36"/>
  <c r="F6" i="35"/>
  <c r="G20" i="35"/>
  <c r="H20" i="35" s="1"/>
  <c r="G9" i="35"/>
  <c r="H9" i="35" s="1"/>
  <c r="G5" i="35"/>
  <c r="H5" i="35" s="1"/>
  <c r="F8" i="35"/>
  <c r="G4" i="35"/>
  <c r="H4" i="35" s="1"/>
  <c r="G10" i="35"/>
  <c r="H10" i="35" s="1"/>
  <c r="F11" i="35"/>
  <c r="F19" i="35"/>
  <c r="G14" i="35"/>
  <c r="H14" i="35" s="1"/>
  <c r="F21" i="35"/>
  <c r="G7" i="35"/>
  <c r="G18" i="35"/>
  <c r="H18" i="35" s="1"/>
  <c r="G8" i="35"/>
  <c r="H8" i="35" s="1"/>
  <c r="F18" i="35"/>
  <c r="G16" i="35"/>
  <c r="H16" i="35" s="1"/>
  <c r="C23" i="35"/>
  <c r="G12" i="35"/>
  <c r="H12" i="35" s="1"/>
  <c r="G15" i="35"/>
  <c r="H15" i="35" s="1"/>
  <c r="E23" i="35"/>
  <c r="F4" i="35"/>
  <c r="F14" i="35"/>
  <c r="F20" i="35"/>
  <c r="F9" i="35"/>
  <c r="G21" i="35"/>
  <c r="H21" i="35" s="1"/>
  <c r="G11" i="35"/>
  <c r="H11" i="35" s="1"/>
  <c r="F5" i="35"/>
  <c r="F15" i="35"/>
  <c r="F3" i="35"/>
  <c r="G3" i="35"/>
  <c r="H3" i="35" s="1"/>
  <c r="F12" i="35"/>
  <c r="F16" i="35"/>
  <c r="F7" i="35"/>
  <c r="F10" i="35"/>
  <c r="G19" i="35"/>
  <c r="H19" i="35" s="1"/>
  <c r="G6" i="35"/>
  <c r="H6" i="35" s="1"/>
  <c r="F8" i="34"/>
  <c r="G4" i="34"/>
  <c r="C22" i="34"/>
  <c r="E22" i="33"/>
  <c r="F5" i="33"/>
  <c r="G7" i="33"/>
  <c r="F12" i="33"/>
  <c r="G15" i="33"/>
  <c r="H15" i="33" s="1"/>
  <c r="F16" i="33"/>
  <c r="F19" i="33"/>
  <c r="G4" i="33"/>
  <c r="H4" i="33" s="1"/>
  <c r="G8" i="33"/>
  <c r="H8" i="33" s="1"/>
  <c r="G9" i="33"/>
  <c r="H9" i="33" s="1"/>
  <c r="G10" i="33"/>
  <c r="H10" i="33" s="1"/>
  <c r="G11" i="33"/>
  <c r="H11" i="33" s="1"/>
  <c r="G14" i="33"/>
  <c r="H14" i="33" s="1"/>
  <c r="F18" i="33"/>
  <c r="G5" i="33"/>
  <c r="H5" i="33" s="1"/>
  <c r="F3" i="33"/>
  <c r="G3" i="33"/>
  <c r="F6" i="33"/>
  <c r="D22" i="32"/>
  <c r="B22" i="32"/>
  <c r="E21" i="32"/>
  <c r="C21" i="32"/>
  <c r="E20" i="32"/>
  <c r="C20" i="32"/>
  <c r="E19" i="32"/>
  <c r="C19" i="32"/>
  <c r="E18" i="32"/>
  <c r="C18" i="32"/>
  <c r="G18" i="32" s="1"/>
  <c r="H18" i="32" s="1"/>
  <c r="E16" i="32"/>
  <c r="C16" i="32"/>
  <c r="G16" i="32" s="1"/>
  <c r="H16" i="32" s="1"/>
  <c r="E15" i="32"/>
  <c r="C15" i="32"/>
  <c r="G15" i="32" s="1"/>
  <c r="H15" i="32" s="1"/>
  <c r="E14" i="32"/>
  <c r="C14" i="32"/>
  <c r="E12" i="32"/>
  <c r="C12" i="32"/>
  <c r="G12" i="32" s="1"/>
  <c r="H12" i="32" s="1"/>
  <c r="E11" i="32"/>
  <c r="C11" i="32"/>
  <c r="G11" i="32" s="1"/>
  <c r="H11" i="32" s="1"/>
  <c r="E10" i="32"/>
  <c r="C10" i="32"/>
  <c r="E9" i="32"/>
  <c r="C9" i="32"/>
  <c r="G9" i="32" s="1"/>
  <c r="H9" i="32" s="1"/>
  <c r="E8" i="32"/>
  <c r="C8" i="32"/>
  <c r="E7" i="32"/>
  <c r="C7" i="32"/>
  <c r="E6" i="32"/>
  <c r="C6" i="32"/>
  <c r="E5" i="32"/>
  <c r="C5" i="32"/>
  <c r="G5" i="32" s="1"/>
  <c r="H5" i="32" s="1"/>
  <c r="E4" i="32"/>
  <c r="C4" i="32"/>
  <c r="E3" i="32"/>
  <c r="C3" i="32"/>
  <c r="G3" i="32" s="1"/>
  <c r="H9" i="36" l="1"/>
  <c r="I9" i="36"/>
  <c r="L9" i="36" s="1"/>
  <c r="N9" i="36"/>
  <c r="H4" i="36"/>
  <c r="N4" i="36"/>
  <c r="I4" i="36"/>
  <c r="L4" i="36" s="1"/>
  <c r="H3" i="36"/>
  <c r="N3" i="36"/>
  <c r="I3" i="36"/>
  <c r="L3" i="36" s="1"/>
  <c r="P14" i="36" s="1"/>
  <c r="H6" i="36"/>
  <c r="I6" i="36"/>
  <c r="L6" i="36" s="1"/>
  <c r="H22" i="36"/>
  <c r="I22" i="36"/>
  <c r="L22" i="36" s="1"/>
  <c r="H16" i="36"/>
  <c r="N16" i="36"/>
  <c r="I16" i="36"/>
  <c r="L16" i="36" s="1"/>
  <c r="H10" i="36"/>
  <c r="I10" i="36"/>
  <c r="L10" i="36" s="1"/>
  <c r="H20" i="36"/>
  <c r="I20" i="36"/>
  <c r="L20" i="36" s="1"/>
  <c r="H12" i="36"/>
  <c r="I12" i="36"/>
  <c r="L12" i="36" s="1"/>
  <c r="H5" i="36"/>
  <c r="N5" i="36"/>
  <c r="I5" i="36"/>
  <c r="L5" i="36" s="1"/>
  <c r="H21" i="36"/>
  <c r="I21" i="36"/>
  <c r="L21" i="36" s="1"/>
  <c r="H11" i="36"/>
  <c r="I11" i="36"/>
  <c r="L11" i="36" s="1"/>
  <c r="H15" i="36"/>
  <c r="I15" i="36"/>
  <c r="L15" i="36" s="1"/>
  <c r="P18" i="36" s="1"/>
  <c r="N15" i="36"/>
  <c r="H19" i="36"/>
  <c r="I19" i="36"/>
  <c r="L19" i="36" s="1"/>
  <c r="P23" i="36" s="1"/>
  <c r="H8" i="36"/>
  <c r="N8" i="36"/>
  <c r="I8" i="36"/>
  <c r="H17" i="36"/>
  <c r="N17" i="36"/>
  <c r="I17" i="36"/>
  <c r="L17" i="36" s="1"/>
  <c r="H7" i="36"/>
  <c r="N7" i="36"/>
  <c r="I7" i="36"/>
  <c r="H23" i="35"/>
  <c r="G19" i="32"/>
  <c r="H19" i="32" s="1"/>
  <c r="F4" i="32"/>
  <c r="G20" i="32"/>
  <c r="H20" i="32" s="1"/>
  <c r="F6" i="32"/>
  <c r="F12" i="32"/>
  <c r="F8" i="32"/>
  <c r="G7" i="32"/>
  <c r="F21" i="32"/>
  <c r="G23" i="36"/>
  <c r="G23" i="35"/>
  <c r="H4" i="34"/>
  <c r="H22" i="34" s="1"/>
  <c r="G22" i="34"/>
  <c r="G14" i="32"/>
  <c r="H14" i="32" s="1"/>
  <c r="F19" i="32"/>
  <c r="F7" i="32"/>
  <c r="F16" i="32"/>
  <c r="E22" i="32"/>
  <c r="F5" i="32"/>
  <c r="F9" i="32"/>
  <c r="F11" i="32"/>
  <c r="G4" i="32"/>
  <c r="H4" i="32" s="1"/>
  <c r="G6" i="32"/>
  <c r="H6" i="32" s="1"/>
  <c r="G8" i="32"/>
  <c r="H8" i="32" s="1"/>
  <c r="G10" i="32"/>
  <c r="H10" i="32" s="1"/>
  <c r="F15" i="32"/>
  <c r="F18" i="32"/>
  <c r="F20" i="32"/>
  <c r="G21" i="32"/>
  <c r="H21" i="32" s="1"/>
  <c r="G22" i="33"/>
  <c r="H3" i="33"/>
  <c r="H22" i="33" s="1"/>
  <c r="H3" i="32"/>
  <c r="F14" i="32"/>
  <c r="F3" i="32"/>
  <c r="F10" i="32"/>
  <c r="C22" i="32"/>
  <c r="J13" i="31"/>
  <c r="O14" i="36" l="1"/>
  <c r="O23" i="36"/>
  <c r="I23" i="36"/>
  <c r="L23" i="36"/>
  <c r="H23" i="36"/>
  <c r="J23" i="35"/>
  <c r="G22" i="32"/>
  <c r="H22" i="32"/>
  <c r="I22" i="31"/>
  <c r="D22" i="31"/>
  <c r="B22" i="31"/>
  <c r="E21" i="31"/>
  <c r="C21" i="31"/>
  <c r="E20" i="31"/>
  <c r="C20" i="31"/>
  <c r="E19" i="31"/>
  <c r="F19" i="31" s="1"/>
  <c r="C19" i="31"/>
  <c r="E18" i="31"/>
  <c r="C18" i="31"/>
  <c r="G18" i="31" s="1"/>
  <c r="H18" i="31" s="1"/>
  <c r="J18" i="31" s="1"/>
  <c r="E16" i="31"/>
  <c r="C16" i="31"/>
  <c r="E15" i="31"/>
  <c r="C15" i="31"/>
  <c r="E14" i="31"/>
  <c r="C14" i="31"/>
  <c r="E12" i="31"/>
  <c r="C12" i="31"/>
  <c r="E11" i="31"/>
  <c r="F11" i="31" s="1"/>
  <c r="C11" i="31"/>
  <c r="E10" i="31"/>
  <c r="C10" i="31"/>
  <c r="G10" i="31" s="1"/>
  <c r="H10" i="31" s="1"/>
  <c r="E9" i="31"/>
  <c r="C9" i="31"/>
  <c r="E8" i="31"/>
  <c r="C8" i="31"/>
  <c r="G8" i="31" s="1"/>
  <c r="H8" i="31" s="1"/>
  <c r="E7" i="31"/>
  <c r="C7" i="31"/>
  <c r="E6" i="31"/>
  <c r="C6" i="31"/>
  <c r="E5" i="31"/>
  <c r="C5" i="31"/>
  <c r="E4" i="31"/>
  <c r="C4" i="31"/>
  <c r="G4" i="31" s="1"/>
  <c r="H4" i="31" s="1"/>
  <c r="E3" i="31"/>
  <c r="C3" i="31"/>
  <c r="F16" i="31" l="1"/>
  <c r="F9" i="31"/>
  <c r="F3" i="31"/>
  <c r="G11" i="31"/>
  <c r="H11" i="31" s="1"/>
  <c r="F5" i="31"/>
  <c r="G15" i="31"/>
  <c r="H15" i="31" s="1"/>
  <c r="G6" i="31"/>
  <c r="H6" i="31" s="1"/>
  <c r="J6" i="31" s="1"/>
  <c r="G20" i="31"/>
  <c r="H20" i="31" s="1"/>
  <c r="F7" i="31"/>
  <c r="F21" i="31"/>
  <c r="J11" i="31"/>
  <c r="J10" i="31"/>
  <c r="F4" i="31"/>
  <c r="F8" i="31"/>
  <c r="F15" i="31"/>
  <c r="F18" i="31"/>
  <c r="F20" i="31"/>
  <c r="F6" i="31"/>
  <c r="F10" i="31"/>
  <c r="G12" i="31"/>
  <c r="H12" i="31" s="1"/>
  <c r="J12" i="31" s="1"/>
  <c r="G3" i="31"/>
  <c r="H3" i="31" s="1"/>
  <c r="G5" i="31"/>
  <c r="H5" i="31" s="1"/>
  <c r="J5" i="31" s="1"/>
  <c r="G7" i="31"/>
  <c r="G9" i="31"/>
  <c r="H9" i="31" s="1"/>
  <c r="J9" i="31" s="1"/>
  <c r="G14" i="31"/>
  <c r="H14" i="31" s="1"/>
  <c r="J14" i="31" s="1"/>
  <c r="G16" i="31"/>
  <c r="H16" i="31" s="1"/>
  <c r="G19" i="31"/>
  <c r="H19" i="31" s="1"/>
  <c r="J19" i="31" s="1"/>
  <c r="G21" i="31"/>
  <c r="H21" i="31" s="1"/>
  <c r="J21" i="31" s="1"/>
  <c r="F14" i="31"/>
  <c r="E22" i="31"/>
  <c r="F12" i="31"/>
  <c r="C22" i="31"/>
  <c r="J13" i="30"/>
  <c r="J17" i="30"/>
  <c r="G22" i="31" l="1"/>
  <c r="H22" i="31"/>
  <c r="I22" i="30"/>
  <c r="D22" i="30"/>
  <c r="B22" i="30"/>
  <c r="E21" i="30"/>
  <c r="C21" i="30"/>
  <c r="E20" i="30"/>
  <c r="C20" i="30"/>
  <c r="E19" i="30"/>
  <c r="C19" i="30"/>
  <c r="G19" i="30" s="1"/>
  <c r="H19" i="30" s="1"/>
  <c r="J19" i="30" s="1"/>
  <c r="E18" i="30"/>
  <c r="C18" i="30"/>
  <c r="E16" i="30"/>
  <c r="C16" i="30"/>
  <c r="E15" i="30"/>
  <c r="C15" i="30"/>
  <c r="E14" i="30"/>
  <c r="C14" i="30"/>
  <c r="E12" i="30"/>
  <c r="C12" i="30"/>
  <c r="E11" i="30"/>
  <c r="C11" i="30"/>
  <c r="E10" i="30"/>
  <c r="C10" i="30"/>
  <c r="G10" i="30" s="1"/>
  <c r="H10" i="30" s="1"/>
  <c r="E9" i="30"/>
  <c r="C9" i="30"/>
  <c r="E8" i="30"/>
  <c r="C8" i="30"/>
  <c r="G8" i="30" s="1"/>
  <c r="H8" i="30" s="1"/>
  <c r="J8" i="30" s="1"/>
  <c r="E7" i="30"/>
  <c r="C7" i="30"/>
  <c r="G7" i="30" s="1"/>
  <c r="E6" i="30"/>
  <c r="C6" i="30"/>
  <c r="G6" i="30" s="1"/>
  <c r="H6" i="30" s="1"/>
  <c r="E5" i="30"/>
  <c r="C5" i="30"/>
  <c r="G5" i="30" s="1"/>
  <c r="H5" i="30" s="1"/>
  <c r="J5" i="30" s="1"/>
  <c r="E4" i="30"/>
  <c r="C4" i="30"/>
  <c r="G4" i="30" s="1"/>
  <c r="H4" i="30" s="1"/>
  <c r="E3" i="30"/>
  <c r="C3" i="30"/>
  <c r="G14" i="30" l="1"/>
  <c r="H14" i="30" s="1"/>
  <c r="J14" i="30" s="1"/>
  <c r="G3" i="30"/>
  <c r="H3" i="30" s="1"/>
  <c r="G9" i="30"/>
  <c r="H9" i="30" s="1"/>
  <c r="J9" i="30" s="1"/>
  <c r="G16" i="30"/>
  <c r="H16" i="30" s="1"/>
  <c r="F20" i="30"/>
  <c r="G21" i="30"/>
  <c r="H21" i="30" s="1"/>
  <c r="J21" i="30" s="1"/>
  <c r="F15" i="30"/>
  <c r="G11" i="30"/>
  <c r="H11" i="30" s="1"/>
  <c r="G12" i="30"/>
  <c r="H12" i="30" s="1"/>
  <c r="J12" i="30" s="1"/>
  <c r="F18" i="30"/>
  <c r="J11" i="30"/>
  <c r="J10" i="30"/>
  <c r="J4" i="30"/>
  <c r="F4" i="30"/>
  <c r="F8" i="30"/>
  <c r="F10" i="30"/>
  <c r="F11" i="30"/>
  <c r="F14" i="30"/>
  <c r="F16" i="30"/>
  <c r="F19" i="30"/>
  <c r="F21" i="30"/>
  <c r="J6" i="30"/>
  <c r="F6" i="30"/>
  <c r="F3" i="30"/>
  <c r="F5" i="30"/>
  <c r="F7" i="30"/>
  <c r="F9" i="30"/>
  <c r="G15" i="30"/>
  <c r="H15" i="30" s="1"/>
  <c r="J15" i="30" s="1"/>
  <c r="G18" i="30"/>
  <c r="H18" i="30" s="1"/>
  <c r="J18" i="30" s="1"/>
  <c r="G20" i="30"/>
  <c r="H20" i="30" s="1"/>
  <c r="J20" i="30" s="1"/>
  <c r="F12" i="30"/>
  <c r="E22" i="30"/>
  <c r="C22" i="30"/>
  <c r="G22" i="30" l="1"/>
  <c r="H22" i="30"/>
  <c r="J13" i="29"/>
  <c r="J17" i="29"/>
  <c r="I22" i="29" l="1"/>
  <c r="D22" i="29"/>
  <c r="B22" i="29"/>
  <c r="E21" i="29"/>
  <c r="C21" i="29"/>
  <c r="E20" i="29"/>
  <c r="C20" i="29"/>
  <c r="G20" i="29" s="1"/>
  <c r="H20" i="29" s="1"/>
  <c r="J20" i="29" s="1"/>
  <c r="E19" i="29"/>
  <c r="C19" i="29"/>
  <c r="E18" i="29"/>
  <c r="C18" i="29"/>
  <c r="G18" i="29" s="1"/>
  <c r="H18" i="29" s="1"/>
  <c r="J18" i="29" s="1"/>
  <c r="E16" i="29"/>
  <c r="F16" i="29" s="1"/>
  <c r="C16" i="29"/>
  <c r="E15" i="29"/>
  <c r="C15" i="29"/>
  <c r="E14" i="29"/>
  <c r="C14" i="29"/>
  <c r="E12" i="29"/>
  <c r="C12" i="29"/>
  <c r="G12" i="29" s="1"/>
  <c r="H12" i="29" s="1"/>
  <c r="J12" i="29" s="1"/>
  <c r="E11" i="29"/>
  <c r="C11" i="29"/>
  <c r="E10" i="29"/>
  <c r="C10" i="29"/>
  <c r="G10" i="29" s="1"/>
  <c r="H10" i="29" s="1"/>
  <c r="J10" i="29" s="1"/>
  <c r="E9" i="29"/>
  <c r="G9" i="29" s="1"/>
  <c r="H9" i="29" s="1"/>
  <c r="J9" i="29" s="1"/>
  <c r="C9" i="29"/>
  <c r="E8" i="29"/>
  <c r="C8" i="29"/>
  <c r="G8" i="29" s="1"/>
  <c r="H8" i="29" s="1"/>
  <c r="J8" i="29" s="1"/>
  <c r="E7" i="29"/>
  <c r="C7" i="29"/>
  <c r="G7" i="29" s="1"/>
  <c r="E6" i="29"/>
  <c r="C6" i="29"/>
  <c r="G6" i="29" s="1"/>
  <c r="H6" i="29" s="1"/>
  <c r="J6" i="29" s="1"/>
  <c r="E5" i="29"/>
  <c r="C5" i="29"/>
  <c r="E4" i="29"/>
  <c r="C4" i="29"/>
  <c r="G4" i="29" s="1"/>
  <c r="H4" i="29" s="1"/>
  <c r="J4" i="29" s="1"/>
  <c r="E3" i="29"/>
  <c r="C3" i="29"/>
  <c r="F7" i="29" l="1"/>
  <c r="F14" i="29"/>
  <c r="F19" i="29"/>
  <c r="F5" i="29"/>
  <c r="F21" i="29"/>
  <c r="G15" i="29"/>
  <c r="H15" i="29" s="1"/>
  <c r="J15" i="29" s="1"/>
  <c r="F11" i="29"/>
  <c r="F8" i="29"/>
  <c r="F4" i="29"/>
  <c r="G5" i="29"/>
  <c r="H5" i="29" s="1"/>
  <c r="J5" i="29" s="1"/>
  <c r="F10" i="29"/>
  <c r="F12" i="29"/>
  <c r="F15" i="29"/>
  <c r="F18" i="29"/>
  <c r="F20" i="29"/>
  <c r="F6" i="29"/>
  <c r="E22" i="29"/>
  <c r="G11" i="29"/>
  <c r="H11" i="29" s="1"/>
  <c r="J11" i="29" s="1"/>
  <c r="G14" i="29"/>
  <c r="H14" i="29" s="1"/>
  <c r="J14" i="29" s="1"/>
  <c r="G16" i="29"/>
  <c r="H16" i="29" s="1"/>
  <c r="G19" i="29"/>
  <c r="H19" i="29" s="1"/>
  <c r="J19" i="29" s="1"/>
  <c r="G21" i="29"/>
  <c r="H21" i="29" s="1"/>
  <c r="J21" i="29" s="1"/>
  <c r="F3" i="29"/>
  <c r="F9" i="29"/>
  <c r="G3" i="29"/>
  <c r="C22" i="29"/>
  <c r="G22" i="29" l="1"/>
  <c r="H3" i="29"/>
  <c r="I22" i="28"/>
  <c r="J7" i="28"/>
  <c r="H22" i="29" l="1"/>
  <c r="D22" i="28"/>
  <c r="B22" i="28"/>
  <c r="E21" i="28"/>
  <c r="F21" i="28" s="1"/>
  <c r="C21" i="28"/>
  <c r="E20" i="28"/>
  <c r="C20" i="28"/>
  <c r="E19" i="28"/>
  <c r="C19" i="28"/>
  <c r="G19" i="28" s="1"/>
  <c r="H19" i="28" s="1"/>
  <c r="J19" i="28" s="1"/>
  <c r="E18" i="28"/>
  <c r="C18" i="28"/>
  <c r="G18" i="28" s="1"/>
  <c r="H18" i="28" s="1"/>
  <c r="J18" i="28" s="1"/>
  <c r="E16" i="28"/>
  <c r="C16" i="28"/>
  <c r="E15" i="28"/>
  <c r="C15" i="28"/>
  <c r="F15" i="28" s="1"/>
  <c r="E14" i="28"/>
  <c r="C14" i="28"/>
  <c r="G14" i="28" s="1"/>
  <c r="H14" i="28" s="1"/>
  <c r="J14" i="28" s="1"/>
  <c r="E12" i="28"/>
  <c r="C12" i="28"/>
  <c r="G12" i="28" s="1"/>
  <c r="H12" i="28" s="1"/>
  <c r="J12" i="28" s="1"/>
  <c r="E11" i="28"/>
  <c r="C11" i="28"/>
  <c r="G11" i="28" s="1"/>
  <c r="H11" i="28" s="1"/>
  <c r="J11" i="28" s="1"/>
  <c r="E10" i="28"/>
  <c r="C10" i="28"/>
  <c r="G10" i="28" s="1"/>
  <c r="H10" i="28" s="1"/>
  <c r="J10" i="28" s="1"/>
  <c r="E9" i="28"/>
  <c r="F9" i="28" s="1"/>
  <c r="C9" i="28"/>
  <c r="G9" i="28" s="1"/>
  <c r="H9" i="28" s="1"/>
  <c r="J9" i="28" s="1"/>
  <c r="E8" i="28"/>
  <c r="C8" i="28"/>
  <c r="G8" i="28" s="1"/>
  <c r="H8" i="28" s="1"/>
  <c r="J8" i="28" s="1"/>
  <c r="E7" i="28"/>
  <c r="C7" i="28"/>
  <c r="G7" i="28" s="1"/>
  <c r="E6" i="28"/>
  <c r="C6" i="28"/>
  <c r="E5" i="28"/>
  <c r="C5" i="28"/>
  <c r="G5" i="28" s="1"/>
  <c r="H5" i="28" s="1"/>
  <c r="J5" i="28" s="1"/>
  <c r="E4" i="28"/>
  <c r="C4" i="28"/>
  <c r="F4" i="28" s="1"/>
  <c r="E3" i="28"/>
  <c r="C3" i="28"/>
  <c r="F11" i="28" l="1"/>
  <c r="F20" i="28"/>
  <c r="F18" i="28"/>
  <c r="G6" i="28"/>
  <c r="H6" i="28" s="1"/>
  <c r="J6" i="28" s="1"/>
  <c r="C22" i="28"/>
  <c r="G4" i="28"/>
  <c r="H4" i="28" s="1"/>
  <c r="J4" i="28" s="1"/>
  <c r="F16" i="28"/>
  <c r="E22" i="28"/>
  <c r="F5" i="28"/>
  <c r="F19" i="28"/>
  <c r="G20" i="28"/>
  <c r="H20" i="28" s="1"/>
  <c r="J20" i="28" s="1"/>
  <c r="F8" i="28"/>
  <c r="F12" i="28"/>
  <c r="G15" i="28"/>
  <c r="H15" i="28" s="1"/>
  <c r="J15" i="28" s="1"/>
  <c r="F6" i="28"/>
  <c r="F7" i="28"/>
  <c r="F10" i="28"/>
  <c r="F14" i="28"/>
  <c r="G16" i="28"/>
  <c r="H16" i="28" s="1"/>
  <c r="G21" i="28"/>
  <c r="H21" i="28" s="1"/>
  <c r="J21" i="28" s="1"/>
  <c r="F3" i="28"/>
  <c r="G3" i="28"/>
  <c r="H3" i="28" l="1"/>
  <c r="G22" i="28"/>
  <c r="H22" i="28" l="1"/>
  <c r="J7" i="27" l="1"/>
  <c r="J13" i="27"/>
  <c r="J17" i="27"/>
  <c r="E18" i="27" l="1"/>
  <c r="G18" i="27" s="1"/>
  <c r="H18" i="27" s="1"/>
  <c r="J18" i="27" s="1"/>
  <c r="C18" i="27"/>
  <c r="E16" i="27"/>
  <c r="C16" i="27"/>
  <c r="E15" i="27"/>
  <c r="C15" i="27"/>
  <c r="G15" i="27" s="1"/>
  <c r="H15" i="27" s="1"/>
  <c r="J15" i="27" s="1"/>
  <c r="E14" i="27"/>
  <c r="C14" i="27"/>
  <c r="E12" i="27"/>
  <c r="C12" i="27"/>
  <c r="E11" i="27"/>
  <c r="C11" i="27"/>
  <c r="G11" i="27" s="1"/>
  <c r="H11" i="27" s="1"/>
  <c r="J11" i="27" s="1"/>
  <c r="E10" i="27"/>
  <c r="C10" i="27"/>
  <c r="E9" i="27"/>
  <c r="C9" i="27"/>
  <c r="G9" i="27" s="1"/>
  <c r="H9" i="27" s="1"/>
  <c r="J9" i="27" s="1"/>
  <c r="E8" i="27"/>
  <c r="C8" i="27"/>
  <c r="G8" i="27" s="1"/>
  <c r="H8" i="27" s="1"/>
  <c r="J8" i="27" s="1"/>
  <c r="E7" i="27"/>
  <c r="C7" i="27"/>
  <c r="E6" i="27"/>
  <c r="C6" i="27"/>
  <c r="G6" i="27" s="1"/>
  <c r="H6" i="27" s="1"/>
  <c r="J6" i="27" s="1"/>
  <c r="E5" i="27"/>
  <c r="C5" i="27"/>
  <c r="E4" i="27"/>
  <c r="C4" i="27"/>
  <c r="E3" i="27"/>
  <c r="C3" i="27"/>
  <c r="G14" i="27" l="1"/>
  <c r="H14" i="27" s="1"/>
  <c r="J14" i="27" s="1"/>
  <c r="G4" i="27"/>
  <c r="H4" i="27" s="1"/>
  <c r="J4" i="27" s="1"/>
  <c r="F11" i="27"/>
  <c r="G7" i="27"/>
  <c r="F9" i="27"/>
  <c r="F4" i="27"/>
  <c r="G12" i="27"/>
  <c r="H12" i="27" s="1"/>
  <c r="J12" i="27" s="1"/>
  <c r="G5" i="27"/>
  <c r="H5" i="27" s="1"/>
  <c r="J5" i="27" s="1"/>
  <c r="F10" i="27"/>
  <c r="F18" i="27"/>
  <c r="F6" i="27"/>
  <c r="G16" i="27"/>
  <c r="H16" i="27" s="1"/>
  <c r="F8" i="27"/>
  <c r="F12" i="27"/>
  <c r="F15" i="27"/>
  <c r="G10" i="27"/>
  <c r="H10" i="27" s="1"/>
  <c r="J10" i="27" s="1"/>
  <c r="F3" i="27"/>
  <c r="F5" i="27"/>
  <c r="F7" i="27"/>
  <c r="F14" i="27"/>
  <c r="F16" i="27"/>
  <c r="G3" i="27"/>
  <c r="J7" i="26"/>
  <c r="J13" i="26"/>
  <c r="J17" i="26"/>
  <c r="H3" i="27" l="1"/>
  <c r="J7" i="25"/>
  <c r="J13" i="25"/>
  <c r="J17" i="25"/>
  <c r="D22" i="26"/>
  <c r="B22" i="26"/>
  <c r="E21" i="26"/>
  <c r="C21" i="26"/>
  <c r="E20" i="26"/>
  <c r="F20" i="26" s="1"/>
  <c r="C20" i="26"/>
  <c r="E19" i="26"/>
  <c r="C19" i="26"/>
  <c r="G19" i="26" s="1"/>
  <c r="H19" i="26" s="1"/>
  <c r="J19" i="26" s="1"/>
  <c r="E18" i="26"/>
  <c r="F18" i="26" s="1"/>
  <c r="C18" i="26"/>
  <c r="E16" i="26"/>
  <c r="C16" i="26"/>
  <c r="E15" i="26"/>
  <c r="G15" i="26" s="1"/>
  <c r="H15" i="26" s="1"/>
  <c r="J15" i="26" s="1"/>
  <c r="C15" i="26"/>
  <c r="E14" i="26"/>
  <c r="C14" i="26"/>
  <c r="G14" i="26" s="1"/>
  <c r="H14" i="26" s="1"/>
  <c r="J14" i="26" s="1"/>
  <c r="E12" i="26"/>
  <c r="C12" i="26"/>
  <c r="E11" i="26"/>
  <c r="C11" i="26"/>
  <c r="E10" i="26"/>
  <c r="F10" i="26" s="1"/>
  <c r="C10" i="26"/>
  <c r="E9" i="26"/>
  <c r="C9" i="26"/>
  <c r="G9" i="26" s="1"/>
  <c r="H9" i="26" s="1"/>
  <c r="J9" i="26" s="1"/>
  <c r="E8" i="26"/>
  <c r="C8" i="26"/>
  <c r="E7" i="26"/>
  <c r="C7" i="26"/>
  <c r="G7" i="26" s="1"/>
  <c r="E6" i="26"/>
  <c r="C6" i="26"/>
  <c r="E5" i="26"/>
  <c r="C5" i="26"/>
  <c r="E4" i="26"/>
  <c r="C4" i="26"/>
  <c r="E3" i="26"/>
  <c r="C3" i="26"/>
  <c r="G3" i="26" s="1"/>
  <c r="F8" i="26" l="1"/>
  <c r="F6" i="26"/>
  <c r="G5" i="26"/>
  <c r="H5" i="26" s="1"/>
  <c r="J5" i="26" s="1"/>
  <c r="F7" i="26"/>
  <c r="F11" i="26"/>
  <c r="F16" i="26"/>
  <c r="F19" i="26"/>
  <c r="G4" i="26"/>
  <c r="H4" i="26" s="1"/>
  <c r="J4" i="26" s="1"/>
  <c r="G10" i="26"/>
  <c r="H10" i="26" s="1"/>
  <c r="J10" i="26" s="1"/>
  <c r="G12" i="26"/>
  <c r="H12" i="26" s="1"/>
  <c r="J12" i="26" s="1"/>
  <c r="G18" i="26"/>
  <c r="H18" i="26" s="1"/>
  <c r="J18" i="26" s="1"/>
  <c r="G20" i="26"/>
  <c r="H20" i="26" s="1"/>
  <c r="J20" i="26" s="1"/>
  <c r="E22" i="26"/>
  <c r="G8" i="26"/>
  <c r="H8" i="26" s="1"/>
  <c r="J8" i="26" s="1"/>
  <c r="F12" i="26"/>
  <c r="F21" i="26"/>
  <c r="F4" i="26"/>
  <c r="F5" i="26"/>
  <c r="F14" i="26"/>
  <c r="F15" i="26"/>
  <c r="F9" i="26"/>
  <c r="H3" i="26"/>
  <c r="C22" i="26"/>
  <c r="G6" i="26"/>
  <c r="H6" i="26" s="1"/>
  <c r="J6" i="26" s="1"/>
  <c r="G11" i="26"/>
  <c r="H11" i="26" s="1"/>
  <c r="J11" i="26" s="1"/>
  <c r="G16" i="26"/>
  <c r="H16" i="26" s="1"/>
  <c r="G21" i="26"/>
  <c r="H21" i="26" s="1"/>
  <c r="J21" i="26" s="1"/>
  <c r="F3" i="26"/>
  <c r="I22" i="25"/>
  <c r="D22" i="25"/>
  <c r="B22" i="25"/>
  <c r="E21" i="25"/>
  <c r="C21" i="25"/>
  <c r="E20" i="25"/>
  <c r="C20" i="25"/>
  <c r="E19" i="25"/>
  <c r="C19" i="25"/>
  <c r="E18" i="25"/>
  <c r="C18" i="25"/>
  <c r="E16" i="25"/>
  <c r="C16" i="25"/>
  <c r="E15" i="25"/>
  <c r="C15" i="25"/>
  <c r="E14" i="25"/>
  <c r="C14" i="25"/>
  <c r="E12" i="25"/>
  <c r="C12" i="25"/>
  <c r="E11" i="25"/>
  <c r="F11" i="25" s="1"/>
  <c r="C11" i="25"/>
  <c r="E10" i="25"/>
  <c r="C10" i="25"/>
  <c r="E9" i="25"/>
  <c r="C9" i="25"/>
  <c r="G9" i="25" s="1"/>
  <c r="H9" i="25" s="1"/>
  <c r="J9" i="25" s="1"/>
  <c r="E8" i="25"/>
  <c r="C8" i="25"/>
  <c r="E7" i="25"/>
  <c r="C7" i="25"/>
  <c r="G7" i="25" s="1"/>
  <c r="E6" i="25"/>
  <c r="C6" i="25"/>
  <c r="E5" i="25"/>
  <c r="C5" i="25"/>
  <c r="G5" i="25" s="1"/>
  <c r="H5" i="25" s="1"/>
  <c r="J5" i="25" s="1"/>
  <c r="E4" i="25"/>
  <c r="C4" i="25"/>
  <c r="G4" i="25" s="1"/>
  <c r="H4" i="25" s="1"/>
  <c r="J4" i="25" s="1"/>
  <c r="E3" i="25"/>
  <c r="C3" i="25"/>
  <c r="F21" i="25" l="1"/>
  <c r="G15" i="25"/>
  <c r="H15" i="25" s="1"/>
  <c r="J15" i="25" s="1"/>
  <c r="E22" i="25"/>
  <c r="F5" i="25"/>
  <c r="F7" i="25"/>
  <c r="G14" i="25"/>
  <c r="H14" i="25" s="1"/>
  <c r="J14" i="25" s="1"/>
  <c r="G16" i="25"/>
  <c r="H16" i="25" s="1"/>
  <c r="G19" i="25"/>
  <c r="H19" i="25" s="1"/>
  <c r="J19" i="25" s="1"/>
  <c r="G21" i="25"/>
  <c r="H21" i="25" s="1"/>
  <c r="J21" i="25" s="1"/>
  <c r="H22" i="26"/>
  <c r="G22" i="26"/>
  <c r="G20" i="25"/>
  <c r="H20" i="25" s="1"/>
  <c r="J20" i="25" s="1"/>
  <c r="F3" i="25"/>
  <c r="G8" i="25"/>
  <c r="H8" i="25" s="1"/>
  <c r="J8" i="25" s="1"/>
  <c r="G11" i="25"/>
  <c r="H11" i="25" s="1"/>
  <c r="J11" i="25" s="1"/>
  <c r="F14" i="25"/>
  <c r="G18" i="25"/>
  <c r="H18" i="25" s="1"/>
  <c r="J18" i="25" s="1"/>
  <c r="G10" i="25"/>
  <c r="H10" i="25" s="1"/>
  <c r="J10" i="25" s="1"/>
  <c r="F16" i="25"/>
  <c r="G3" i="25"/>
  <c r="H3" i="25" s="1"/>
  <c r="G6" i="25"/>
  <c r="H6" i="25" s="1"/>
  <c r="J6" i="25" s="1"/>
  <c r="F9" i="25"/>
  <c r="G12" i="25"/>
  <c r="H12" i="25" s="1"/>
  <c r="J12" i="25" s="1"/>
  <c r="F19" i="25"/>
  <c r="C22" i="25"/>
  <c r="F8" i="25"/>
  <c r="F10" i="25"/>
  <c r="F12" i="25"/>
  <c r="F15" i="25"/>
  <c r="F18" i="25"/>
  <c r="F20" i="25"/>
  <c r="F6" i="25"/>
  <c r="F4" i="25"/>
  <c r="J7" i="24"/>
  <c r="G22" i="25" l="1"/>
  <c r="H22" i="25"/>
  <c r="I22" i="24"/>
  <c r="D22" i="24"/>
  <c r="B22" i="24"/>
  <c r="E21" i="24"/>
  <c r="C21" i="24"/>
  <c r="G21" i="24" s="1"/>
  <c r="H21" i="24" s="1"/>
  <c r="J21" i="24" s="1"/>
  <c r="E20" i="24"/>
  <c r="C20" i="24"/>
  <c r="E19" i="24"/>
  <c r="C19" i="24"/>
  <c r="E18" i="24"/>
  <c r="C18" i="24"/>
  <c r="E16" i="24"/>
  <c r="C16" i="24"/>
  <c r="E15" i="24"/>
  <c r="C15" i="24"/>
  <c r="E14" i="24"/>
  <c r="C14" i="24"/>
  <c r="G14" i="24" s="1"/>
  <c r="H14" i="24" s="1"/>
  <c r="J14" i="24" s="1"/>
  <c r="E12" i="24"/>
  <c r="C12" i="24"/>
  <c r="E11" i="24"/>
  <c r="C11" i="24"/>
  <c r="G11" i="24" s="1"/>
  <c r="H11" i="24" s="1"/>
  <c r="J11" i="24" s="1"/>
  <c r="E10" i="24"/>
  <c r="C10" i="24"/>
  <c r="E9" i="24"/>
  <c r="C9" i="24"/>
  <c r="E8" i="24"/>
  <c r="C8" i="24"/>
  <c r="E7" i="24"/>
  <c r="C7" i="24"/>
  <c r="E6" i="24"/>
  <c r="C6" i="24"/>
  <c r="E5" i="24"/>
  <c r="C5" i="24"/>
  <c r="E4" i="24"/>
  <c r="C4" i="24"/>
  <c r="E3" i="24"/>
  <c r="C3" i="24"/>
  <c r="G19" i="24" l="1"/>
  <c r="H19" i="24" s="1"/>
  <c r="J19" i="24" s="1"/>
  <c r="F12" i="24"/>
  <c r="G5" i="24"/>
  <c r="H5" i="24" s="1"/>
  <c r="J5" i="24" s="1"/>
  <c r="G9" i="24"/>
  <c r="H9" i="24" s="1"/>
  <c r="J9" i="24" s="1"/>
  <c r="G4" i="24"/>
  <c r="H4" i="24" s="1"/>
  <c r="J4" i="24" s="1"/>
  <c r="G6" i="24"/>
  <c r="H6" i="24" s="1"/>
  <c r="J6" i="24" s="1"/>
  <c r="G8" i="24"/>
  <c r="H8" i="24" s="1"/>
  <c r="J8" i="24" s="1"/>
  <c r="F9" i="24"/>
  <c r="F4" i="24"/>
  <c r="F14" i="24"/>
  <c r="F16" i="24"/>
  <c r="F19" i="24"/>
  <c r="G7" i="24"/>
  <c r="G12" i="24"/>
  <c r="H12" i="24" s="1"/>
  <c r="J12" i="24" s="1"/>
  <c r="G18" i="24"/>
  <c r="H18" i="24" s="1"/>
  <c r="J18" i="24" s="1"/>
  <c r="F18" i="24"/>
  <c r="F11" i="24"/>
  <c r="F6" i="24"/>
  <c r="F7" i="24"/>
  <c r="F21" i="24"/>
  <c r="G10" i="24"/>
  <c r="H10" i="24" s="1"/>
  <c r="J10" i="24" s="1"/>
  <c r="F8" i="24"/>
  <c r="C22" i="24"/>
  <c r="E22" i="24"/>
  <c r="G15" i="24"/>
  <c r="H15" i="24" s="1"/>
  <c r="J15" i="24" s="1"/>
  <c r="G20" i="24"/>
  <c r="H20" i="24" s="1"/>
  <c r="J20" i="24" s="1"/>
  <c r="G3" i="24"/>
  <c r="G16" i="24"/>
  <c r="H16" i="24" s="1"/>
  <c r="H3" i="24"/>
  <c r="F10" i="24"/>
  <c r="F5" i="24"/>
  <c r="F15" i="24"/>
  <c r="F20" i="24"/>
  <c r="F3" i="24"/>
  <c r="I22" i="23"/>
  <c r="D22" i="23"/>
  <c r="B22" i="23"/>
  <c r="E21" i="23"/>
  <c r="C21" i="23"/>
  <c r="E20" i="23"/>
  <c r="C20" i="23"/>
  <c r="E19" i="23"/>
  <c r="C19" i="23"/>
  <c r="G19" i="23" s="1"/>
  <c r="H19" i="23" s="1"/>
  <c r="E18" i="23"/>
  <c r="C18" i="23"/>
  <c r="E16" i="23"/>
  <c r="C16" i="23"/>
  <c r="E15" i="23"/>
  <c r="C15" i="23"/>
  <c r="E14" i="23"/>
  <c r="C14" i="23"/>
  <c r="E12" i="23"/>
  <c r="C12" i="23"/>
  <c r="G12" i="23" s="1"/>
  <c r="H12" i="23" s="1"/>
  <c r="E11" i="23"/>
  <c r="C11" i="23"/>
  <c r="E10" i="23"/>
  <c r="C10" i="23"/>
  <c r="E9" i="23"/>
  <c r="C9" i="23"/>
  <c r="E8" i="23"/>
  <c r="C8" i="23"/>
  <c r="E7" i="23"/>
  <c r="C7" i="23"/>
  <c r="E6" i="23"/>
  <c r="C6" i="23"/>
  <c r="E5" i="23"/>
  <c r="C5" i="23"/>
  <c r="G5" i="23" s="1"/>
  <c r="H5" i="23" s="1"/>
  <c r="E4" i="23"/>
  <c r="C4" i="23"/>
  <c r="E3" i="23"/>
  <c r="C3" i="23"/>
  <c r="G10" i="23" l="1"/>
  <c r="H10" i="23" s="1"/>
  <c r="G18" i="23"/>
  <c r="H18" i="23" s="1"/>
  <c r="G20" i="23"/>
  <c r="H20" i="23" s="1"/>
  <c r="G14" i="23"/>
  <c r="H14" i="23" s="1"/>
  <c r="G8" i="23"/>
  <c r="H8" i="23" s="1"/>
  <c r="G15" i="23"/>
  <c r="H15" i="23" s="1"/>
  <c r="F10" i="23"/>
  <c r="F20" i="23"/>
  <c r="G9" i="23"/>
  <c r="H9" i="23" s="1"/>
  <c r="F15" i="23"/>
  <c r="F7" i="23"/>
  <c r="F16" i="23"/>
  <c r="F12" i="23"/>
  <c r="G22" i="24"/>
  <c r="G4" i="23"/>
  <c r="H4" i="23" s="1"/>
  <c r="G3" i="23"/>
  <c r="H3" i="23" s="1"/>
  <c r="F4" i="23"/>
  <c r="G6" i="23"/>
  <c r="H6" i="23" s="1"/>
  <c r="F8" i="23"/>
  <c r="F11" i="23"/>
  <c r="F18" i="23"/>
  <c r="F21" i="23"/>
  <c r="F6" i="23"/>
  <c r="F9" i="23"/>
  <c r="H22" i="24"/>
  <c r="F14" i="23"/>
  <c r="F3" i="23"/>
  <c r="F19" i="23"/>
  <c r="F5" i="23"/>
  <c r="G7" i="23"/>
  <c r="G11" i="23"/>
  <c r="H11" i="23" s="1"/>
  <c r="G16" i="23"/>
  <c r="H16" i="23" s="1"/>
  <c r="G21" i="23"/>
  <c r="H21" i="23" s="1"/>
  <c r="E22" i="23"/>
  <c r="C22" i="23"/>
  <c r="J7" i="22"/>
  <c r="G22" i="23" l="1"/>
  <c r="H22" i="23"/>
  <c r="I22" i="22"/>
  <c r="D22" i="22"/>
  <c r="B22" i="22"/>
  <c r="E21" i="22"/>
  <c r="C21" i="22"/>
  <c r="G21" i="22" s="1"/>
  <c r="H21" i="22" s="1"/>
  <c r="J21" i="22" s="1"/>
  <c r="E20" i="22"/>
  <c r="C20" i="22"/>
  <c r="E19" i="22"/>
  <c r="C19" i="22"/>
  <c r="F19" i="22" s="1"/>
  <c r="E18" i="22"/>
  <c r="C18" i="22"/>
  <c r="E16" i="22"/>
  <c r="C16" i="22"/>
  <c r="E15" i="22"/>
  <c r="C15" i="22"/>
  <c r="E14" i="22"/>
  <c r="C14" i="22"/>
  <c r="G14" i="22" s="1"/>
  <c r="H14" i="22" s="1"/>
  <c r="J14" i="22" s="1"/>
  <c r="E12" i="22"/>
  <c r="C12" i="22"/>
  <c r="E11" i="22"/>
  <c r="C11" i="22"/>
  <c r="G11" i="22" s="1"/>
  <c r="H11" i="22" s="1"/>
  <c r="J11" i="22" s="1"/>
  <c r="E10" i="22"/>
  <c r="C10" i="22"/>
  <c r="E9" i="22"/>
  <c r="C9" i="22"/>
  <c r="G9" i="22" s="1"/>
  <c r="H9" i="22" s="1"/>
  <c r="J9" i="22" s="1"/>
  <c r="E8" i="22"/>
  <c r="C8" i="22"/>
  <c r="E7" i="22"/>
  <c r="C7" i="22"/>
  <c r="G7" i="22" s="1"/>
  <c r="E6" i="22"/>
  <c r="C6" i="22"/>
  <c r="E5" i="22"/>
  <c r="C5" i="22"/>
  <c r="G5" i="22" s="1"/>
  <c r="H5" i="22" s="1"/>
  <c r="J5" i="22" s="1"/>
  <c r="E4" i="22"/>
  <c r="C4" i="22"/>
  <c r="E3" i="22"/>
  <c r="C3" i="22"/>
  <c r="G3" i="22" s="1"/>
  <c r="F10" i="22" l="1"/>
  <c r="F15" i="22"/>
  <c r="F20" i="22"/>
  <c r="F11" i="22"/>
  <c r="F21" i="22"/>
  <c r="E22" i="22"/>
  <c r="G4" i="22"/>
  <c r="H4" i="22" s="1"/>
  <c r="J4" i="22" s="1"/>
  <c r="G6" i="22"/>
  <c r="H6" i="22" s="1"/>
  <c r="J6" i="22" s="1"/>
  <c r="G18" i="22"/>
  <c r="H18" i="22" s="1"/>
  <c r="J18" i="22" s="1"/>
  <c r="F5" i="22"/>
  <c r="G19" i="22"/>
  <c r="H19" i="22" s="1"/>
  <c r="J19" i="22" s="1"/>
  <c r="F4" i="22"/>
  <c r="G8" i="22"/>
  <c r="H8" i="22" s="1"/>
  <c r="J8" i="22" s="1"/>
  <c r="F14" i="22"/>
  <c r="F16" i="22"/>
  <c r="F18" i="22"/>
  <c r="G20" i="22"/>
  <c r="H20" i="22" s="1"/>
  <c r="J20" i="22" s="1"/>
  <c r="F3" i="22"/>
  <c r="F7" i="22"/>
  <c r="F6" i="22"/>
  <c r="F9" i="22"/>
  <c r="G12" i="22"/>
  <c r="H12" i="22" s="1"/>
  <c r="J12" i="22" s="1"/>
  <c r="G15" i="22"/>
  <c r="H15" i="22" s="1"/>
  <c r="J15" i="22" s="1"/>
  <c r="G16" i="22"/>
  <c r="H16" i="22" s="1"/>
  <c r="C22" i="22"/>
  <c r="F8" i="22"/>
  <c r="F12" i="22"/>
  <c r="H3" i="22"/>
  <c r="G10" i="22"/>
  <c r="H10" i="22" s="1"/>
  <c r="J10" i="22" s="1"/>
  <c r="I22" i="21"/>
  <c r="D22" i="21"/>
  <c r="B22" i="21"/>
  <c r="E21" i="21"/>
  <c r="C21" i="21"/>
  <c r="E20" i="21"/>
  <c r="C20" i="21"/>
  <c r="E19" i="21"/>
  <c r="C19" i="21"/>
  <c r="E18" i="21"/>
  <c r="C18" i="21"/>
  <c r="E16" i="21"/>
  <c r="C16" i="21"/>
  <c r="E15" i="21"/>
  <c r="C15" i="21"/>
  <c r="E14" i="21"/>
  <c r="C14" i="21"/>
  <c r="E12" i="21"/>
  <c r="C12" i="21"/>
  <c r="E11" i="21"/>
  <c r="C11" i="21"/>
  <c r="E10" i="21"/>
  <c r="C10" i="21"/>
  <c r="E9" i="21"/>
  <c r="C9" i="21"/>
  <c r="E8" i="21"/>
  <c r="C8" i="21"/>
  <c r="J7" i="21"/>
  <c r="E7" i="21"/>
  <c r="C7" i="21"/>
  <c r="E6" i="21"/>
  <c r="C6" i="21"/>
  <c r="E5" i="21"/>
  <c r="C5" i="21"/>
  <c r="E4" i="21"/>
  <c r="C4" i="21"/>
  <c r="E3" i="21"/>
  <c r="C3" i="21"/>
  <c r="G4" i="21" l="1"/>
  <c r="H4" i="21" s="1"/>
  <c r="J4" i="21" s="1"/>
  <c r="G15" i="21"/>
  <c r="H15" i="21" s="1"/>
  <c r="J15" i="21" s="1"/>
  <c r="G6" i="21"/>
  <c r="H6" i="21" s="1"/>
  <c r="J6" i="21" s="1"/>
  <c r="F18" i="21"/>
  <c r="F11" i="21"/>
  <c r="F4" i="21"/>
  <c r="F6" i="21"/>
  <c r="G10" i="21"/>
  <c r="H10" i="21" s="1"/>
  <c r="J10" i="21" s="1"/>
  <c r="G12" i="21"/>
  <c r="H12" i="21" s="1"/>
  <c r="J12" i="21" s="1"/>
  <c r="F21" i="21"/>
  <c r="G3" i="21"/>
  <c r="H3" i="21" s="1"/>
  <c r="G7" i="21"/>
  <c r="G20" i="21"/>
  <c r="H20" i="21" s="1"/>
  <c r="J20" i="21" s="1"/>
  <c r="E22" i="21"/>
  <c r="G8" i="21"/>
  <c r="H8" i="21" s="1"/>
  <c r="J8" i="21" s="1"/>
  <c r="F14" i="21"/>
  <c r="G18" i="21"/>
  <c r="H18" i="21" s="1"/>
  <c r="J18" i="21" s="1"/>
  <c r="F20" i="21"/>
  <c r="F12" i="21"/>
  <c r="F16" i="21"/>
  <c r="F10" i="21"/>
  <c r="G5" i="21"/>
  <c r="H5" i="21" s="1"/>
  <c r="J5" i="21" s="1"/>
  <c r="F9" i="21"/>
  <c r="F15" i="21"/>
  <c r="F19" i="21"/>
  <c r="H22" i="22"/>
  <c r="G22" i="22"/>
  <c r="F3" i="21"/>
  <c r="F5" i="21"/>
  <c r="F7" i="21"/>
  <c r="G9" i="21"/>
  <c r="H9" i="21" s="1"/>
  <c r="J9" i="21" s="1"/>
  <c r="G11" i="21"/>
  <c r="H11" i="21" s="1"/>
  <c r="J11" i="21" s="1"/>
  <c r="G14" i="21"/>
  <c r="H14" i="21" s="1"/>
  <c r="J14" i="21" s="1"/>
  <c r="G16" i="21"/>
  <c r="H16" i="21" s="1"/>
  <c r="G19" i="21"/>
  <c r="H19" i="21" s="1"/>
  <c r="J19" i="21" s="1"/>
  <c r="G21" i="21"/>
  <c r="H21" i="21" s="1"/>
  <c r="J21" i="21" s="1"/>
  <c r="C22" i="21"/>
  <c r="F8" i="21"/>
  <c r="H22" i="21" l="1"/>
  <c r="G22" i="21"/>
  <c r="I22" i="19" l="1"/>
  <c r="D22" i="19" l="1"/>
  <c r="B22" i="19"/>
  <c r="E21" i="19"/>
  <c r="C21" i="19"/>
  <c r="E20" i="19"/>
  <c r="C20" i="19"/>
  <c r="E19" i="19"/>
  <c r="C19" i="19"/>
  <c r="G19" i="19" s="1"/>
  <c r="H19" i="19" s="1"/>
  <c r="J19" i="19" s="1"/>
  <c r="E18" i="19"/>
  <c r="C18" i="19"/>
  <c r="E16" i="19"/>
  <c r="C16" i="19"/>
  <c r="E15" i="19"/>
  <c r="C15" i="19"/>
  <c r="E14" i="19"/>
  <c r="C14" i="19"/>
  <c r="G14" i="19" s="1"/>
  <c r="H14" i="19" s="1"/>
  <c r="J14" i="19" s="1"/>
  <c r="E12" i="19"/>
  <c r="C12" i="19"/>
  <c r="E11" i="19"/>
  <c r="C11" i="19"/>
  <c r="E10" i="19"/>
  <c r="C10" i="19"/>
  <c r="E9" i="19"/>
  <c r="C9" i="19"/>
  <c r="G9" i="19" s="1"/>
  <c r="H9" i="19" s="1"/>
  <c r="J9" i="19" s="1"/>
  <c r="E8" i="19"/>
  <c r="C8" i="19"/>
  <c r="J7" i="19"/>
  <c r="E7" i="19"/>
  <c r="C7" i="19"/>
  <c r="F7" i="19" s="1"/>
  <c r="E6" i="19"/>
  <c r="C6" i="19"/>
  <c r="E5" i="19"/>
  <c r="C5" i="19"/>
  <c r="F5" i="19" s="1"/>
  <c r="E4" i="19"/>
  <c r="C4" i="19"/>
  <c r="E3" i="19"/>
  <c r="C3" i="19"/>
  <c r="G3" i="19" s="1"/>
  <c r="G20" i="19" l="1"/>
  <c r="H20" i="19" s="1"/>
  <c r="J20" i="19" s="1"/>
  <c r="G12" i="19"/>
  <c r="H12" i="19" s="1"/>
  <c r="J12" i="19" s="1"/>
  <c r="F15" i="19"/>
  <c r="G18" i="19"/>
  <c r="H18" i="19" s="1"/>
  <c r="J18" i="19" s="1"/>
  <c r="F8" i="19"/>
  <c r="G10" i="19"/>
  <c r="H10" i="19" s="1"/>
  <c r="J10" i="19" s="1"/>
  <c r="F12" i="19"/>
  <c r="F11" i="19"/>
  <c r="F16" i="19"/>
  <c r="F6" i="19"/>
  <c r="F20" i="19"/>
  <c r="G8" i="19"/>
  <c r="H8" i="19" s="1"/>
  <c r="J8" i="19" s="1"/>
  <c r="F10" i="19"/>
  <c r="G15" i="19"/>
  <c r="H15" i="19" s="1"/>
  <c r="J15" i="19" s="1"/>
  <c r="F18" i="19"/>
  <c r="F21" i="19"/>
  <c r="G4" i="19"/>
  <c r="H4" i="19" s="1"/>
  <c r="J4" i="19" s="1"/>
  <c r="G5" i="19"/>
  <c r="H5" i="19" s="1"/>
  <c r="J5" i="19" s="1"/>
  <c r="F9" i="19"/>
  <c r="F14" i="19"/>
  <c r="F19" i="19"/>
  <c r="C22" i="19"/>
  <c r="E22" i="19"/>
  <c r="G6" i="19"/>
  <c r="H6" i="19" s="1"/>
  <c r="J6" i="19" s="1"/>
  <c r="G7" i="19"/>
  <c r="G11" i="19"/>
  <c r="H11" i="19" s="1"/>
  <c r="J11" i="19" s="1"/>
  <c r="G16" i="19"/>
  <c r="H16" i="19" s="1"/>
  <c r="G21" i="19"/>
  <c r="H21" i="19" s="1"/>
  <c r="J21" i="19" s="1"/>
  <c r="H3" i="19"/>
  <c r="F4" i="19"/>
  <c r="F3" i="19"/>
  <c r="G22" i="19" l="1"/>
  <c r="H22" i="19"/>
  <c r="J3" i="19"/>
  <c r="D22" i="17"/>
  <c r="B22" i="17"/>
  <c r="E21" i="17"/>
  <c r="C21" i="17"/>
  <c r="E20" i="17"/>
  <c r="C20" i="17"/>
  <c r="G20" i="17" s="1"/>
  <c r="H20" i="17" s="1"/>
  <c r="J20" i="17" s="1"/>
  <c r="E19" i="17"/>
  <c r="C19" i="17"/>
  <c r="E18" i="17"/>
  <c r="C18" i="17"/>
  <c r="E16" i="17"/>
  <c r="C16" i="17"/>
  <c r="E15" i="17"/>
  <c r="C15" i="17"/>
  <c r="E14" i="17"/>
  <c r="C14" i="17"/>
  <c r="E12" i="17"/>
  <c r="C12" i="17"/>
  <c r="E11" i="17"/>
  <c r="C11" i="17"/>
  <c r="E10" i="17"/>
  <c r="C10" i="17"/>
  <c r="E9" i="17"/>
  <c r="C9" i="17"/>
  <c r="E8" i="17"/>
  <c r="C8" i="17"/>
  <c r="J7" i="17"/>
  <c r="E7" i="17"/>
  <c r="C7" i="17"/>
  <c r="E6" i="17"/>
  <c r="C6" i="17"/>
  <c r="E5" i="17"/>
  <c r="C5" i="17"/>
  <c r="G5" i="17" s="1"/>
  <c r="H5" i="17" s="1"/>
  <c r="J5" i="17" s="1"/>
  <c r="E4" i="17"/>
  <c r="C4" i="17"/>
  <c r="E3" i="17"/>
  <c r="C3" i="17"/>
  <c r="G3" i="17" s="1"/>
  <c r="G12" i="17" l="1"/>
  <c r="H12" i="17" s="1"/>
  <c r="J12" i="17" s="1"/>
  <c r="G15" i="17"/>
  <c r="H15" i="17" s="1"/>
  <c r="J15" i="17" s="1"/>
  <c r="F18" i="17"/>
  <c r="G8" i="17"/>
  <c r="H8" i="17" s="1"/>
  <c r="J8" i="17" s="1"/>
  <c r="F11" i="17"/>
  <c r="G18" i="17"/>
  <c r="H18" i="17" s="1"/>
  <c r="J18" i="17" s="1"/>
  <c r="F8" i="17"/>
  <c r="F16" i="17"/>
  <c r="G6" i="17"/>
  <c r="H6" i="17" s="1"/>
  <c r="J6" i="17" s="1"/>
  <c r="F9" i="17"/>
  <c r="F20" i="17"/>
  <c r="F14" i="17"/>
  <c r="E22" i="17"/>
  <c r="F7" i="17"/>
  <c r="G10" i="17"/>
  <c r="H10" i="17" s="1"/>
  <c r="J10" i="17" s="1"/>
  <c r="F12" i="17"/>
  <c r="F19" i="17"/>
  <c r="F21" i="17"/>
  <c r="F5" i="17"/>
  <c r="G9" i="17"/>
  <c r="H9" i="17" s="1"/>
  <c r="J9" i="17" s="1"/>
  <c r="F10" i="17"/>
  <c r="G14" i="17"/>
  <c r="H14" i="17" s="1"/>
  <c r="J14" i="17" s="1"/>
  <c r="F15" i="17"/>
  <c r="G19" i="17"/>
  <c r="H19" i="17" s="1"/>
  <c r="J19" i="17" s="1"/>
  <c r="C22" i="17"/>
  <c r="F4" i="17"/>
  <c r="G7" i="17"/>
  <c r="G11" i="17"/>
  <c r="H11" i="17" s="1"/>
  <c r="J11" i="17" s="1"/>
  <c r="G16" i="17"/>
  <c r="H16" i="17" s="1"/>
  <c r="G21" i="17"/>
  <c r="H21" i="17" s="1"/>
  <c r="J21" i="17" s="1"/>
  <c r="H3" i="17"/>
  <c r="F6" i="17"/>
  <c r="G4" i="17"/>
  <c r="H4" i="17" s="1"/>
  <c r="J4" i="17" s="1"/>
  <c r="F3" i="17"/>
  <c r="J7" i="15"/>
  <c r="G22" i="17" l="1"/>
  <c r="H22" i="17"/>
  <c r="J3" i="17"/>
  <c r="D22" i="15"/>
  <c r="B22" i="15"/>
  <c r="E21" i="15"/>
  <c r="C21" i="15"/>
  <c r="G21" i="15" s="1"/>
  <c r="H21" i="15" s="1"/>
  <c r="J21" i="15" s="1"/>
  <c r="E20" i="15"/>
  <c r="C20" i="15"/>
  <c r="E19" i="15"/>
  <c r="C19" i="15"/>
  <c r="E18" i="15"/>
  <c r="C18" i="15"/>
  <c r="G18" i="15" s="1"/>
  <c r="H18" i="15" s="1"/>
  <c r="J18" i="15" s="1"/>
  <c r="E16" i="15"/>
  <c r="C16" i="15"/>
  <c r="E15" i="15"/>
  <c r="C15" i="15"/>
  <c r="E14" i="15"/>
  <c r="C14" i="15"/>
  <c r="E12" i="15"/>
  <c r="C12" i="15"/>
  <c r="E11" i="15"/>
  <c r="C11" i="15"/>
  <c r="E10" i="15"/>
  <c r="C10" i="15"/>
  <c r="E9" i="15"/>
  <c r="C9" i="15"/>
  <c r="E8" i="15"/>
  <c r="C8" i="15"/>
  <c r="E7" i="15"/>
  <c r="C7" i="15"/>
  <c r="E6" i="15"/>
  <c r="C6" i="15"/>
  <c r="G6" i="15" s="1"/>
  <c r="H6" i="15" s="1"/>
  <c r="J6" i="15" s="1"/>
  <c r="E5" i="15"/>
  <c r="C5" i="15"/>
  <c r="E4" i="15"/>
  <c r="C4" i="15"/>
  <c r="F4" i="15" s="1"/>
  <c r="E3" i="15"/>
  <c r="C3" i="15"/>
  <c r="F7" i="15" l="1"/>
  <c r="F11" i="15"/>
  <c r="F16" i="15"/>
  <c r="F9" i="15"/>
  <c r="F6" i="15"/>
  <c r="G8" i="15"/>
  <c r="H8" i="15" s="1"/>
  <c r="J8" i="15" s="1"/>
  <c r="G15" i="15"/>
  <c r="H15" i="15" s="1"/>
  <c r="J15" i="15" s="1"/>
  <c r="F19" i="15"/>
  <c r="G4" i="15"/>
  <c r="H4" i="15" s="1"/>
  <c r="J4" i="15" s="1"/>
  <c r="E22" i="15"/>
  <c r="G5" i="15"/>
  <c r="H5" i="15" s="1"/>
  <c r="J5" i="15" s="1"/>
  <c r="G11" i="15"/>
  <c r="H11" i="15" s="1"/>
  <c r="J11" i="15" s="1"/>
  <c r="G14" i="15"/>
  <c r="H14" i="15" s="1"/>
  <c r="J14" i="15" s="1"/>
  <c r="F21" i="15"/>
  <c r="F5" i="15"/>
  <c r="G10" i="15"/>
  <c r="H10" i="15" s="1"/>
  <c r="J10" i="15" s="1"/>
  <c r="G16" i="15"/>
  <c r="H16" i="15" s="1"/>
  <c r="G20" i="15"/>
  <c r="H20" i="15" s="1"/>
  <c r="J20" i="15" s="1"/>
  <c r="G3" i="15"/>
  <c r="G7" i="15"/>
  <c r="G9" i="15"/>
  <c r="H9" i="15" s="1"/>
  <c r="J9" i="15" s="1"/>
  <c r="G12" i="15"/>
  <c r="H12" i="15" s="1"/>
  <c r="J12" i="15" s="1"/>
  <c r="F14" i="15"/>
  <c r="G19" i="15"/>
  <c r="H19" i="15" s="1"/>
  <c r="J19" i="15" s="1"/>
  <c r="F3" i="15"/>
  <c r="C22" i="15"/>
  <c r="F8" i="15"/>
  <c r="F10" i="15"/>
  <c r="F12" i="15"/>
  <c r="F15" i="15"/>
  <c r="F18" i="15"/>
  <c r="F20" i="15"/>
  <c r="D22" i="14"/>
  <c r="B22" i="14"/>
  <c r="E21" i="14"/>
  <c r="C21" i="14"/>
  <c r="E20" i="14"/>
  <c r="C20" i="14"/>
  <c r="E19" i="14"/>
  <c r="C19" i="14"/>
  <c r="E18" i="14"/>
  <c r="C18" i="14"/>
  <c r="E16" i="14"/>
  <c r="C16" i="14"/>
  <c r="E15" i="14"/>
  <c r="C15" i="14"/>
  <c r="E14" i="14"/>
  <c r="C14" i="14"/>
  <c r="E12" i="14"/>
  <c r="C12" i="14"/>
  <c r="E11" i="14"/>
  <c r="C11" i="14"/>
  <c r="E10" i="14"/>
  <c r="C10" i="14"/>
  <c r="E9" i="14"/>
  <c r="F9" i="14" s="1"/>
  <c r="C9" i="14"/>
  <c r="E8" i="14"/>
  <c r="C8" i="14"/>
  <c r="J7" i="14"/>
  <c r="E7" i="14"/>
  <c r="C7" i="14"/>
  <c r="E6" i="14"/>
  <c r="C6" i="14"/>
  <c r="E5" i="14"/>
  <c r="C5" i="14"/>
  <c r="G5" i="14" s="1"/>
  <c r="H5" i="14" s="1"/>
  <c r="J5" i="14" s="1"/>
  <c r="E4" i="14"/>
  <c r="C4" i="14"/>
  <c r="G4" i="14" s="1"/>
  <c r="H4" i="14" s="1"/>
  <c r="J4" i="14" s="1"/>
  <c r="E3" i="14"/>
  <c r="C3" i="14"/>
  <c r="G3" i="14" s="1"/>
  <c r="G18" i="14" l="1"/>
  <c r="H18" i="14" s="1"/>
  <c r="J18" i="14" s="1"/>
  <c r="F21" i="14"/>
  <c r="G7" i="14"/>
  <c r="F20" i="14"/>
  <c r="G22" i="15"/>
  <c r="G14" i="14"/>
  <c r="H14" i="14" s="1"/>
  <c r="J14" i="14" s="1"/>
  <c r="F16" i="14"/>
  <c r="F19" i="14"/>
  <c r="H3" i="15"/>
  <c r="J3" i="15" s="1"/>
  <c r="F5" i="14"/>
  <c r="G19" i="14"/>
  <c r="H19" i="14" s="1"/>
  <c r="J19" i="14" s="1"/>
  <c r="F7" i="14"/>
  <c r="F15" i="14"/>
  <c r="G20" i="14"/>
  <c r="H20" i="14" s="1"/>
  <c r="J20" i="14" s="1"/>
  <c r="F6" i="14"/>
  <c r="G9" i="14"/>
  <c r="H9" i="14" s="1"/>
  <c r="J9" i="14" s="1"/>
  <c r="F11" i="14"/>
  <c r="E22" i="14"/>
  <c r="F4" i="14"/>
  <c r="G8" i="14"/>
  <c r="H8" i="14" s="1"/>
  <c r="J8" i="14" s="1"/>
  <c r="G11" i="14"/>
  <c r="H11" i="14" s="1"/>
  <c r="J11" i="14" s="1"/>
  <c r="F14" i="14"/>
  <c r="F18" i="14"/>
  <c r="G21" i="14"/>
  <c r="H21" i="14" s="1"/>
  <c r="J21" i="14" s="1"/>
  <c r="F3" i="14"/>
  <c r="G6" i="14"/>
  <c r="H6" i="14" s="1"/>
  <c r="J6" i="14" s="1"/>
  <c r="G10" i="14"/>
  <c r="H10" i="14" s="1"/>
  <c r="J10" i="14" s="1"/>
  <c r="G12" i="14"/>
  <c r="H12" i="14" s="1"/>
  <c r="J12" i="14" s="1"/>
  <c r="G15" i="14"/>
  <c r="H15" i="14" s="1"/>
  <c r="J15" i="14" s="1"/>
  <c r="G16" i="14"/>
  <c r="H16" i="14" s="1"/>
  <c r="C22" i="14"/>
  <c r="F8" i="14"/>
  <c r="F10" i="14"/>
  <c r="F12" i="14"/>
  <c r="H3" i="14"/>
  <c r="J7" i="11"/>
  <c r="I22" i="11"/>
  <c r="H22" i="15" l="1"/>
  <c r="G22" i="14"/>
  <c r="J3" i="14"/>
  <c r="H22" i="14"/>
  <c r="D22" i="11" l="1"/>
  <c r="I22" i="7" l="1"/>
  <c r="J7" i="7"/>
  <c r="I22" i="9"/>
  <c r="J7" i="9"/>
  <c r="B22" i="11" l="1"/>
  <c r="E21" i="11"/>
  <c r="C21" i="11"/>
  <c r="E20" i="11"/>
  <c r="C20" i="11"/>
  <c r="E19" i="11"/>
  <c r="C19" i="11"/>
  <c r="E18" i="11"/>
  <c r="C18" i="11"/>
  <c r="E16" i="11"/>
  <c r="C16" i="11"/>
  <c r="E15" i="11"/>
  <c r="C15" i="11"/>
  <c r="E14" i="11"/>
  <c r="C14" i="11"/>
  <c r="G14" i="11" s="1"/>
  <c r="H14" i="11" s="1"/>
  <c r="J14" i="11" s="1"/>
  <c r="E12" i="11"/>
  <c r="C12" i="11"/>
  <c r="E11" i="11"/>
  <c r="C11" i="11"/>
  <c r="G11" i="11" s="1"/>
  <c r="H11" i="11" s="1"/>
  <c r="J11" i="11" s="1"/>
  <c r="E10" i="11"/>
  <c r="C10" i="11"/>
  <c r="G10" i="11" s="1"/>
  <c r="H10" i="11" s="1"/>
  <c r="J10" i="11" s="1"/>
  <c r="E9" i="11"/>
  <c r="C9" i="11"/>
  <c r="G9" i="11" s="1"/>
  <c r="H9" i="11" s="1"/>
  <c r="J9" i="11" s="1"/>
  <c r="E8" i="11"/>
  <c r="C8" i="11"/>
  <c r="E7" i="11"/>
  <c r="C7" i="11"/>
  <c r="E6" i="11"/>
  <c r="C6" i="11"/>
  <c r="G6" i="11" s="1"/>
  <c r="H6" i="11" s="1"/>
  <c r="J6" i="11" s="1"/>
  <c r="E5" i="11"/>
  <c r="C5" i="11"/>
  <c r="E4" i="11"/>
  <c r="C4" i="11"/>
  <c r="G4" i="11" s="1"/>
  <c r="H4" i="11" s="1"/>
  <c r="J4" i="11" s="1"/>
  <c r="E3" i="11"/>
  <c r="C3" i="11"/>
  <c r="G16" i="11" l="1"/>
  <c r="H16" i="11" s="1"/>
  <c r="G15" i="11"/>
  <c r="H15" i="11" s="1"/>
  <c r="J15" i="11" s="1"/>
  <c r="F11" i="11"/>
  <c r="F16" i="11"/>
  <c r="F6" i="11"/>
  <c r="G20" i="11"/>
  <c r="H20" i="11" s="1"/>
  <c r="J20" i="11" s="1"/>
  <c r="G21" i="11"/>
  <c r="H21" i="11" s="1"/>
  <c r="J21" i="11" s="1"/>
  <c r="F21" i="11"/>
  <c r="F19" i="11"/>
  <c r="G3" i="11"/>
  <c r="H3" i="11" s="1"/>
  <c r="F5" i="11"/>
  <c r="G5" i="11"/>
  <c r="H5" i="11" s="1"/>
  <c r="J5" i="11" s="1"/>
  <c r="G8" i="11"/>
  <c r="H8" i="11" s="1"/>
  <c r="J8" i="11" s="1"/>
  <c r="F10" i="11"/>
  <c r="F14" i="11"/>
  <c r="F4" i="11"/>
  <c r="G18" i="11"/>
  <c r="H18" i="11" s="1"/>
  <c r="J18" i="11" s="1"/>
  <c r="F20" i="11"/>
  <c r="G7" i="11"/>
  <c r="F9" i="11"/>
  <c r="G12" i="11"/>
  <c r="H12" i="11" s="1"/>
  <c r="J12" i="11" s="1"/>
  <c r="F15" i="11"/>
  <c r="G19" i="11"/>
  <c r="H19" i="11" s="1"/>
  <c r="J19" i="11" s="1"/>
  <c r="C22" i="11"/>
  <c r="F3" i="11"/>
  <c r="F7" i="11"/>
  <c r="F8" i="11"/>
  <c r="F12" i="11"/>
  <c r="F18" i="11"/>
  <c r="E22" i="11"/>
  <c r="B22" i="9"/>
  <c r="E21" i="9"/>
  <c r="C21" i="9"/>
  <c r="E20" i="9"/>
  <c r="C20" i="9"/>
  <c r="E19" i="9"/>
  <c r="C19" i="9"/>
  <c r="E18" i="9"/>
  <c r="C18" i="9"/>
  <c r="E16" i="9"/>
  <c r="C16" i="9"/>
  <c r="E15" i="9"/>
  <c r="C15" i="9"/>
  <c r="E14" i="9"/>
  <c r="C14" i="9"/>
  <c r="E12" i="9"/>
  <c r="C12" i="9"/>
  <c r="E11" i="9"/>
  <c r="C11" i="9"/>
  <c r="E10" i="9"/>
  <c r="C10" i="9"/>
  <c r="E9" i="9"/>
  <c r="C9" i="9"/>
  <c r="E8" i="9"/>
  <c r="C8" i="9"/>
  <c r="E7" i="9"/>
  <c r="C7" i="9"/>
  <c r="G7" i="9" s="1"/>
  <c r="E6" i="9"/>
  <c r="C6" i="9"/>
  <c r="E5" i="9"/>
  <c r="C5" i="9"/>
  <c r="E4" i="9"/>
  <c r="C4" i="9"/>
  <c r="E3" i="9"/>
  <c r="C3" i="9"/>
  <c r="G16" i="9" l="1"/>
  <c r="H16" i="9" s="1"/>
  <c r="G5" i="9"/>
  <c r="H5" i="9" s="1"/>
  <c r="J5" i="9" s="1"/>
  <c r="G11" i="9"/>
  <c r="H11" i="9" s="1"/>
  <c r="J11" i="9" s="1"/>
  <c r="F3" i="9"/>
  <c r="G6" i="9"/>
  <c r="H6" i="9" s="1"/>
  <c r="J6" i="9" s="1"/>
  <c r="G8" i="9"/>
  <c r="H8" i="9" s="1"/>
  <c r="J8" i="9" s="1"/>
  <c r="G12" i="9"/>
  <c r="H12" i="9" s="1"/>
  <c r="J12" i="9" s="1"/>
  <c r="G15" i="9"/>
  <c r="H15" i="9" s="1"/>
  <c r="J15" i="9" s="1"/>
  <c r="G20" i="9"/>
  <c r="H20" i="9" s="1"/>
  <c r="J20" i="9" s="1"/>
  <c r="G19" i="9"/>
  <c r="H19" i="9" s="1"/>
  <c r="J19" i="9" s="1"/>
  <c r="F21" i="9"/>
  <c r="G3" i="9"/>
  <c r="H3" i="9" s="1"/>
  <c r="J3" i="9" s="1"/>
  <c r="F8" i="9"/>
  <c r="F7" i="9"/>
  <c r="F10" i="9"/>
  <c r="F12" i="9"/>
  <c r="G18" i="9"/>
  <c r="H18" i="9" s="1"/>
  <c r="J18" i="9" s="1"/>
  <c r="G22" i="11"/>
  <c r="F5" i="9"/>
  <c r="F16" i="9"/>
  <c r="F18" i="9"/>
  <c r="G21" i="9"/>
  <c r="H21" i="9" s="1"/>
  <c r="J21" i="9" s="1"/>
  <c r="F14" i="9"/>
  <c r="F9" i="9"/>
  <c r="F11" i="9"/>
  <c r="F20" i="9"/>
  <c r="C22" i="9"/>
  <c r="G4" i="9"/>
  <c r="H4" i="9" s="1"/>
  <c r="J4" i="9" s="1"/>
  <c r="F6" i="9"/>
  <c r="G10" i="9"/>
  <c r="H10" i="9" s="1"/>
  <c r="J10" i="9" s="1"/>
  <c r="F15" i="9"/>
  <c r="H22" i="11"/>
  <c r="J3" i="11"/>
  <c r="E22" i="9"/>
  <c r="F4" i="9"/>
  <c r="F19" i="9"/>
  <c r="G9" i="9"/>
  <c r="H9" i="9" s="1"/>
  <c r="G14" i="9"/>
  <c r="H14" i="9" s="1"/>
  <c r="J14" i="9" s="1"/>
  <c r="B22" i="7"/>
  <c r="E21" i="7"/>
  <c r="C21" i="7"/>
  <c r="G21" i="7" s="1"/>
  <c r="H21" i="7" s="1"/>
  <c r="J21" i="7" s="1"/>
  <c r="E20" i="7"/>
  <c r="C20" i="7"/>
  <c r="G20" i="7" s="1"/>
  <c r="H20" i="7" s="1"/>
  <c r="J20" i="7" s="1"/>
  <c r="E19" i="7"/>
  <c r="C19" i="7"/>
  <c r="G19" i="7" s="1"/>
  <c r="H19" i="7" s="1"/>
  <c r="J19" i="7" s="1"/>
  <c r="E18" i="7"/>
  <c r="C18" i="7"/>
  <c r="G18" i="7" s="1"/>
  <c r="H18" i="7" s="1"/>
  <c r="J18" i="7" s="1"/>
  <c r="E16" i="7"/>
  <c r="C16" i="7"/>
  <c r="E15" i="7"/>
  <c r="C15" i="7"/>
  <c r="G15" i="7" s="1"/>
  <c r="H15" i="7" s="1"/>
  <c r="J15" i="7" s="1"/>
  <c r="E14" i="7"/>
  <c r="C14" i="7"/>
  <c r="G14" i="7" s="1"/>
  <c r="H14" i="7" s="1"/>
  <c r="J14" i="7" s="1"/>
  <c r="E12" i="7"/>
  <c r="C12" i="7"/>
  <c r="G12" i="7" s="1"/>
  <c r="H12" i="7" s="1"/>
  <c r="J12" i="7" s="1"/>
  <c r="E11" i="7"/>
  <c r="C11" i="7"/>
  <c r="G11" i="7" s="1"/>
  <c r="H11" i="7" s="1"/>
  <c r="J11" i="7" s="1"/>
  <c r="E10" i="7"/>
  <c r="C10" i="7"/>
  <c r="G10" i="7" s="1"/>
  <c r="H10" i="7" s="1"/>
  <c r="J10" i="7" s="1"/>
  <c r="E9" i="7"/>
  <c r="C9" i="7"/>
  <c r="E8" i="7"/>
  <c r="C8" i="7"/>
  <c r="G8" i="7" s="1"/>
  <c r="H8" i="7" s="1"/>
  <c r="J8" i="7" s="1"/>
  <c r="E7" i="7"/>
  <c r="C7" i="7"/>
  <c r="E6" i="7"/>
  <c r="C6" i="7"/>
  <c r="E5" i="7"/>
  <c r="C5" i="7"/>
  <c r="G5" i="7" s="1"/>
  <c r="H5" i="7" s="1"/>
  <c r="J5" i="7" s="1"/>
  <c r="E4" i="7"/>
  <c r="C4" i="7"/>
  <c r="E3" i="7"/>
  <c r="C3" i="7"/>
  <c r="G3" i="7" l="1"/>
  <c r="G9" i="7"/>
  <c r="H9" i="7" s="1"/>
  <c r="J9" i="7" s="1"/>
  <c r="G16" i="7"/>
  <c r="H16" i="7" s="1"/>
  <c r="F12" i="7"/>
  <c r="F8" i="7"/>
  <c r="F18" i="7"/>
  <c r="H22" i="9"/>
  <c r="J9" i="9"/>
  <c r="F15" i="7"/>
  <c r="F7" i="7"/>
  <c r="F10" i="7"/>
  <c r="F20" i="7"/>
  <c r="G22" i="9"/>
  <c r="F11" i="7"/>
  <c r="F16" i="7"/>
  <c r="F3" i="7"/>
  <c r="G6" i="7"/>
  <c r="H6" i="7" s="1"/>
  <c r="J6" i="7" s="1"/>
  <c r="F5" i="7"/>
  <c r="F9" i="7"/>
  <c r="F14" i="7"/>
  <c r="F19" i="7"/>
  <c r="G4" i="7"/>
  <c r="H4" i="7" s="1"/>
  <c r="J4" i="7" s="1"/>
  <c r="G7" i="7"/>
  <c r="F21" i="7"/>
  <c r="C22" i="7"/>
  <c r="E22" i="7"/>
  <c r="H3" i="7"/>
  <c r="J3" i="7" s="1"/>
  <c r="F4" i="7"/>
  <c r="F6" i="7"/>
  <c r="G22" i="7" l="1"/>
  <c r="H22" i="7"/>
  <c r="E7" i="6" l="1"/>
  <c r="E11" i="6"/>
  <c r="I22" i="6"/>
  <c r="B22" i="6"/>
  <c r="E21" i="6"/>
  <c r="C21" i="6"/>
  <c r="E20" i="6"/>
  <c r="C20" i="6"/>
  <c r="G20" i="6" s="1"/>
  <c r="H20" i="6" s="1"/>
  <c r="E19" i="6"/>
  <c r="C19" i="6"/>
  <c r="E18" i="6"/>
  <c r="C18" i="6"/>
  <c r="G18" i="6" s="1"/>
  <c r="E16" i="6"/>
  <c r="C16" i="6"/>
  <c r="E15" i="6"/>
  <c r="C15" i="6"/>
  <c r="E14" i="6"/>
  <c r="C14" i="6"/>
  <c r="E12" i="6"/>
  <c r="C12" i="6"/>
  <c r="C11" i="6"/>
  <c r="E10" i="6"/>
  <c r="C10" i="6"/>
  <c r="E9" i="6"/>
  <c r="C9" i="6"/>
  <c r="E8" i="6"/>
  <c r="C8" i="6"/>
  <c r="C7" i="6"/>
  <c r="E6" i="6"/>
  <c r="C6" i="6"/>
  <c r="E5" i="6"/>
  <c r="C5" i="6"/>
  <c r="E4" i="6"/>
  <c r="C4" i="6"/>
  <c r="E3" i="6"/>
  <c r="C3" i="6"/>
  <c r="G7" i="6" l="1"/>
  <c r="G8" i="6"/>
  <c r="H8" i="6" s="1"/>
  <c r="G4" i="6"/>
  <c r="H4" i="6" s="1"/>
  <c r="G6" i="6"/>
  <c r="H6" i="6" s="1"/>
  <c r="J6" i="6" s="1"/>
  <c r="G14" i="6"/>
  <c r="H14" i="6" s="1"/>
  <c r="J14" i="6" s="1"/>
  <c r="G16" i="6"/>
  <c r="G19" i="6"/>
  <c r="F12" i="6"/>
  <c r="F11" i="6"/>
  <c r="F8" i="6"/>
  <c r="G10" i="6"/>
  <c r="H10" i="6" s="1"/>
  <c r="J10" i="6" s="1"/>
  <c r="F16" i="6"/>
  <c r="F21" i="6"/>
  <c r="E22" i="6"/>
  <c r="F5" i="6"/>
  <c r="G9" i="6"/>
  <c r="H9" i="6" s="1"/>
  <c r="J9" i="6" s="1"/>
  <c r="G11" i="6"/>
  <c r="H11" i="6" s="1"/>
  <c r="J11" i="6" s="1"/>
  <c r="G12" i="6"/>
  <c r="H12" i="6" s="1"/>
  <c r="J12" i="6" s="1"/>
  <c r="F15" i="6"/>
  <c r="F20" i="6"/>
  <c r="H18" i="6"/>
  <c r="J18" i="6" s="1"/>
  <c r="F7" i="6"/>
  <c r="F10" i="6"/>
  <c r="F4" i="6"/>
  <c r="G3" i="6"/>
  <c r="G5" i="6"/>
  <c r="H5" i="6" s="1"/>
  <c r="J5" i="6" s="1"/>
  <c r="G15" i="6"/>
  <c r="H15" i="6" s="1"/>
  <c r="F19" i="6"/>
  <c r="H19" i="6"/>
  <c r="J19" i="6" s="1"/>
  <c r="J4" i="6"/>
  <c r="J8" i="6"/>
  <c r="G21" i="6"/>
  <c r="H16" i="6"/>
  <c r="J16" i="6" s="1"/>
  <c r="J15" i="6"/>
  <c r="J7" i="6"/>
  <c r="J20" i="6"/>
  <c r="C22" i="6"/>
  <c r="F3" i="6"/>
  <c r="F6" i="6"/>
  <c r="F9" i="6"/>
  <c r="F14" i="6"/>
  <c r="F18" i="6"/>
  <c r="H3" i="6" l="1"/>
  <c r="J3" i="6" s="1"/>
  <c r="G22" i="6"/>
  <c r="H21" i="6"/>
  <c r="J21" i="6" s="1"/>
  <c r="H22" i="6" l="1"/>
  <c r="J22" i="6"/>
  <c r="I22" i="4" l="1"/>
  <c r="B22" i="4"/>
  <c r="E21" i="4"/>
  <c r="C21" i="4"/>
  <c r="E20" i="4"/>
  <c r="C20" i="4"/>
  <c r="E19" i="4"/>
  <c r="C19" i="4"/>
  <c r="E18" i="4"/>
  <c r="C18" i="4"/>
  <c r="E16" i="4"/>
  <c r="C16" i="4"/>
  <c r="E15" i="4"/>
  <c r="C15" i="4"/>
  <c r="E14" i="4"/>
  <c r="C14" i="4"/>
  <c r="E12" i="4"/>
  <c r="C12" i="4"/>
  <c r="E11" i="4"/>
  <c r="C11" i="4"/>
  <c r="E10" i="4"/>
  <c r="C10" i="4"/>
  <c r="E9" i="4"/>
  <c r="C9" i="4"/>
  <c r="E8" i="4"/>
  <c r="C8" i="4"/>
  <c r="E7" i="4"/>
  <c r="C7" i="4"/>
  <c r="E6" i="4"/>
  <c r="C6" i="4"/>
  <c r="E5" i="4"/>
  <c r="C5" i="4"/>
  <c r="E4" i="4"/>
  <c r="C4" i="4"/>
  <c r="E3" i="4"/>
  <c r="C3" i="4"/>
  <c r="G9" i="4" l="1"/>
  <c r="H9" i="4" s="1"/>
  <c r="J9" i="4" s="1"/>
  <c r="F11" i="4"/>
  <c r="G19" i="4"/>
  <c r="H19" i="4" s="1"/>
  <c r="J19" i="4" s="1"/>
  <c r="G5" i="4"/>
  <c r="H5" i="4" s="1"/>
  <c r="J5" i="4" s="1"/>
  <c r="G7" i="4"/>
  <c r="H7" i="4" s="1"/>
  <c r="J7" i="4" s="1"/>
  <c r="F21" i="4"/>
  <c r="G15" i="4"/>
  <c r="H15" i="4" s="1"/>
  <c r="J15" i="4" s="1"/>
  <c r="F6" i="4"/>
  <c r="F3" i="4"/>
  <c r="G14" i="4"/>
  <c r="H14" i="4" s="1"/>
  <c r="J14" i="4" s="1"/>
  <c r="G16" i="4"/>
  <c r="H16" i="4" s="1"/>
  <c r="J16" i="4" s="1"/>
  <c r="F5" i="4"/>
  <c r="F14" i="4"/>
  <c r="F7" i="4"/>
  <c r="G10" i="4"/>
  <c r="H10" i="4" s="1"/>
  <c r="J10" i="4" s="1"/>
  <c r="F16" i="4"/>
  <c r="G20" i="4"/>
  <c r="H20" i="4" s="1"/>
  <c r="J20" i="4" s="1"/>
  <c r="G3" i="4"/>
  <c r="H3" i="4" s="1"/>
  <c r="J3" i="4" s="1"/>
  <c r="G8" i="4"/>
  <c r="H8" i="4" s="1"/>
  <c r="J8" i="4" s="1"/>
  <c r="G11" i="4"/>
  <c r="H11" i="4" s="1"/>
  <c r="J11" i="4" s="1"/>
  <c r="F18" i="4"/>
  <c r="C22" i="4"/>
  <c r="G4" i="4"/>
  <c r="H4" i="4" s="1"/>
  <c r="J4" i="4" s="1"/>
  <c r="F9" i="4"/>
  <c r="G12" i="4"/>
  <c r="H12" i="4" s="1"/>
  <c r="J12" i="4" s="1"/>
  <c r="F19" i="4"/>
  <c r="G21" i="4"/>
  <c r="H21" i="4" s="1"/>
  <c r="J21" i="4" s="1"/>
  <c r="F10" i="4"/>
  <c r="F15" i="4"/>
  <c r="F20" i="4"/>
  <c r="E22" i="4"/>
  <c r="G6" i="4"/>
  <c r="H6" i="4" s="1"/>
  <c r="J6" i="4" s="1"/>
  <c r="G18" i="4"/>
  <c r="H18" i="4" s="1"/>
  <c r="J18" i="4" s="1"/>
  <c r="F4" i="4"/>
  <c r="F8" i="4"/>
  <c r="F12" i="4"/>
  <c r="J22" i="4" l="1"/>
  <c r="F22" i="4"/>
  <c r="G22" i="4"/>
  <c r="H2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FE6C6839-955D-400E-82E2-AE8D33786848}">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A2B3D65A-5A42-48EC-B59C-8242CD435B54}">
      <text>
        <r>
          <rPr>
            <b/>
            <sz val="9"/>
            <color indexed="81"/>
            <rFont val="Tahoma"/>
            <family val="2"/>
          </rPr>
          <t>Shelley Thompson:</t>
        </r>
        <r>
          <rPr>
            <sz val="9"/>
            <color indexed="81"/>
            <rFont val="Tahoma"/>
            <family val="2"/>
          </rPr>
          <t xml:space="preserve">
Jochen/GIS measured the areas. </t>
        </r>
      </text>
    </comment>
    <comment ref="C1" authorId="0" shapeId="0" xr:uid="{88E21454-4B07-45F1-986A-81076CCDC923}">
      <text>
        <r>
          <rPr>
            <b/>
            <sz val="9"/>
            <color indexed="81"/>
            <rFont val="Tahoma"/>
            <family val="2"/>
          </rPr>
          <t>Shelley Thompson:</t>
        </r>
        <r>
          <rPr>
            <sz val="9"/>
            <color indexed="81"/>
            <rFont val="Tahoma"/>
            <family val="2"/>
          </rPr>
          <t xml:space="preserve">
Gross area in m2 converted to ha. </t>
        </r>
      </text>
    </comment>
    <comment ref="D1" authorId="0" shapeId="0" xr:uid="{85D7B1E4-EC83-498F-B0B8-553037C7C67E}">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F6F379E-D534-43DF-87FC-4CEF5171C402}">
      <text>
        <r>
          <rPr>
            <b/>
            <sz val="9"/>
            <color indexed="81"/>
            <rFont val="Tahoma"/>
            <family val="2"/>
          </rPr>
          <t>Shelley Thompson:</t>
        </r>
        <r>
          <rPr>
            <sz val="9"/>
            <color indexed="81"/>
            <rFont val="Tahoma"/>
            <family val="2"/>
          </rPr>
          <t xml:space="preserve">
Converted non-residential land in m2 to ha. </t>
        </r>
      </text>
    </comment>
    <comment ref="F1" authorId="0" shapeId="0" xr:uid="{16FAA94A-66A3-4002-AB7A-9054DAC6EE47}">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30DDAE02-FBDE-4748-8F0B-2E399E63E3C8}">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FDCC724E-1EC7-4F19-AF6B-A84C7D05FC58}">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A7F51F1F-529F-43D1-90EE-716F90F6894D}">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J1" authorId="0" shapeId="0" xr:uid="{A0544518-F4F0-49F0-B4EA-762E485893F9}">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K1" authorId="0" shapeId="0" xr:uid="{44FEBA29-9F4B-43A4-8226-5C258865F399}">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6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6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6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6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6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6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6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6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D5B294E5-EF2E-44F4-AFF5-5C48813CA19F}">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6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6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7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7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7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7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7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7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7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7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9015665F-A92A-4693-B4E1-2838852238BE}">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7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7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8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8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8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8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8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8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8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8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9583CF5D-A541-4865-94C7-BA886719C368}">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800-00000A000000}">
      <text>
        <r>
          <rPr>
            <b/>
            <sz val="9"/>
            <color rgb="FF000000"/>
            <rFont val="Tahoma"/>
            <family val="2"/>
          </rPr>
          <t>Shelley Thompson:</t>
        </r>
        <r>
          <rPr>
            <sz val="9"/>
            <color rgb="FF000000"/>
            <rFont val="Tahoma"/>
            <family val="2"/>
          </rPr>
          <t xml:space="preserve">
</t>
        </r>
        <r>
          <rPr>
            <sz val="9"/>
            <color rgb="FF000000"/>
            <rFont val="Tahoma"/>
            <family val="2"/>
          </rPr>
          <t xml:space="preserve">Net capacity is calculated by the number of potential households based on 12hh/ha less the number of non-vacant properties.  </t>
        </r>
      </text>
    </comment>
    <comment ref="H7" authorId="0" shapeId="0" xr:uid="{00000000-0006-0000-08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9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9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9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9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9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9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9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9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377F1E46-3E8E-4C3F-BA24-92233A9FB86E}">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9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9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A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A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A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A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A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A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A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A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660C8930-DEF8-4E13-8139-14905ACFCB3E}">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A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A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B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B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B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B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B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B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B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B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7E618576-60D7-4BCE-990E-1796FB50835B}">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B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B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C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C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C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C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C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C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C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C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ECF3D67D-CACE-4658-BAFF-1E11CF790A72}">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C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C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E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E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E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E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E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E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E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E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06CA306D-5063-4361-BDD8-50CA461751D3}">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E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E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F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F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F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F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0F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F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F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F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7BD7D4DF-7C8B-44C6-83C6-A9934B3EA3AA}">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F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F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11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11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11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11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11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11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11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11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7588CD15-3234-4ADE-A91B-E64E9A1F831E}">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11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11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B1" authorId="0" shapeId="0" xr:uid="{42F9A17C-2EB5-4D20-824F-DC9EB4D99AF3}">
      <text>
        <r>
          <rPr>
            <b/>
            <sz val="9"/>
            <color indexed="81"/>
            <rFont val="Tahoma"/>
            <family val="2"/>
          </rPr>
          <t>Shelley Thompson:</t>
        </r>
        <r>
          <rPr>
            <sz val="9"/>
            <color indexed="81"/>
            <rFont val="Tahoma"/>
            <family val="2"/>
          </rPr>
          <t xml:space="preserve">
Jochen/GIS measured the areas. </t>
        </r>
      </text>
    </comment>
    <comment ref="C1" authorId="0" shapeId="0" xr:uid="{F6C316FC-8F2D-478D-AC4C-2B1BEF876DAD}">
      <text>
        <r>
          <rPr>
            <b/>
            <sz val="9"/>
            <color indexed="81"/>
            <rFont val="Tahoma"/>
            <family val="2"/>
          </rPr>
          <t>Shelley Thompson:</t>
        </r>
        <r>
          <rPr>
            <sz val="9"/>
            <color indexed="81"/>
            <rFont val="Tahoma"/>
            <family val="2"/>
          </rPr>
          <t xml:space="preserve">
Gross area in m2 converted to ha. </t>
        </r>
      </text>
    </comment>
    <comment ref="D1" authorId="0" shapeId="0" xr:uid="{6EC25830-642A-42E0-B6C1-941BCC73F026}">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D6280566-0596-4F98-B325-6F418FF8DA4D}">
      <text>
        <r>
          <rPr>
            <b/>
            <sz val="9"/>
            <color indexed="81"/>
            <rFont val="Tahoma"/>
            <family val="2"/>
          </rPr>
          <t>Shelley Thompson:</t>
        </r>
        <r>
          <rPr>
            <sz val="9"/>
            <color indexed="81"/>
            <rFont val="Tahoma"/>
            <family val="2"/>
          </rPr>
          <t xml:space="preserve">
Converted non-residential land in m2 to ha. </t>
        </r>
      </text>
    </comment>
    <comment ref="F1" authorId="0" shapeId="0" xr:uid="{DE6AB9D4-2B6A-4FA9-9146-681631971B41}">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I1" authorId="0" shapeId="0" xr:uid="{7D2C3DD7-0CD8-4190-832D-84406951152F}">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H7" authorId="0" shapeId="0" xr:uid="{2953384A-C577-4238-92AF-7616C4DA23BC}">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13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13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13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13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13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13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13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13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2A4D5D1A-1227-47F6-AFB6-AF4D21E0F5E5}">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13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13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16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16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16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16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16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16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16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16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F7732EE0-6EDF-4FAA-B4C9-A02B880CB723}">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16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16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18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18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18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18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18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18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18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18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5CF2CC6C-2644-43E0-8784-76534E30687A}">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18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18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19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19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19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19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19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19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19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19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7B5E8DDF-5EDF-496A-9BF8-17CCC0FDAF85}">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19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19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1B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1B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1B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1B00-000004000000}">
      <text>
        <r>
          <rPr>
            <b/>
            <sz val="9"/>
            <color indexed="81"/>
            <rFont val="Tahoma"/>
            <family val="2"/>
          </rPr>
          <t>Shelley Thompson:</t>
        </r>
        <r>
          <rPr>
            <sz val="9"/>
            <color indexed="81"/>
            <rFont val="Tahoma"/>
            <family val="2"/>
          </rPr>
          <t xml:space="preserve">
Area of land used for roading and reserves (both stormwater detention and parks/recreational) were either based on:
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For development areas that had not yet been developed, the area for roads and reserves was estimated based on 20% of land area (as per the LTP definition). 
</t>
        </r>
      </text>
    </comment>
    <comment ref="E1" authorId="0" shapeId="0" xr:uid="{00000000-0006-0000-1B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1B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1B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1B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84C425C7-9AD2-4667-94FA-D640EA8BD32B}">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1B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1B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I1" authorId="0" shapeId="0" xr:uid="{95DCE46F-C106-4821-A49D-6890690442D4}">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7C0D4637-3A78-4180-A248-D74432942ED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C3867BD5-1F7C-4393-BC13-44FDDFD72FDB}">
      <text>
        <r>
          <rPr>
            <b/>
            <sz val="9"/>
            <color indexed="81"/>
            <rFont val="Tahoma"/>
            <family val="2"/>
          </rPr>
          <t>Shelley Thompson:</t>
        </r>
        <r>
          <rPr>
            <sz val="9"/>
            <color indexed="81"/>
            <rFont val="Tahoma"/>
            <family val="2"/>
          </rPr>
          <t xml:space="preserve">
Jochen/GIS measured the areas. </t>
        </r>
      </text>
    </comment>
    <comment ref="C1" authorId="0" shapeId="0" xr:uid="{F1861EDD-D3E2-4430-9ECB-741F3A4A2ED7}">
      <text>
        <r>
          <rPr>
            <b/>
            <sz val="9"/>
            <color indexed="81"/>
            <rFont val="Tahoma"/>
            <family val="2"/>
          </rPr>
          <t>Shelley Thompson:</t>
        </r>
        <r>
          <rPr>
            <sz val="9"/>
            <color indexed="81"/>
            <rFont val="Tahoma"/>
            <family val="2"/>
          </rPr>
          <t xml:space="preserve">
Gross area in m2 converted to ha. </t>
        </r>
      </text>
    </comment>
    <comment ref="D1" authorId="0" shapeId="0" xr:uid="{B6EE4D8D-2B03-45C3-A122-72D2A0E641D9}">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801546F1-B176-43B9-A015-2054C9D8A610}">
      <text>
        <r>
          <rPr>
            <b/>
            <sz val="9"/>
            <color indexed="81"/>
            <rFont val="Tahoma"/>
            <family val="2"/>
          </rPr>
          <t>Shelley Thompson:</t>
        </r>
        <r>
          <rPr>
            <sz val="9"/>
            <color indexed="81"/>
            <rFont val="Tahoma"/>
            <family val="2"/>
          </rPr>
          <t xml:space="preserve">
Converted non-residential land in m2 to ha. </t>
        </r>
      </text>
    </comment>
    <comment ref="F1" authorId="0" shapeId="0" xr:uid="{D32C4D0C-689F-4CD6-80E0-0FB9AC9C0D08}">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6BB120AC-D5F4-469E-9C3C-B696F487A611}">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B4584DEB-6E17-4F9B-B98C-F8454D66A2A2}">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1DE1065C-7FA1-4608-94AE-ED84D88D1584}">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FC6AD8D5-181C-48CA-88CB-62BC278612BD}">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6A3ACCC-DE70-4EDD-9ACC-CCEF90D646BA}">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0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0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0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0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0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0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0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0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A2957496-12E6-4F6F-9D53-6D72293B0E59}">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0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0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1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1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1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1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1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1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1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1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077BF6C8-F5CB-426C-A50D-C9D9CA4769E6}">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1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1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2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2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2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2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2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2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2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2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9DFDCE79-6C41-4DBA-AEE1-9ABDA73289CB}">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2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2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3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3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3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3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3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3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3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3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E8E893B3-7BE2-43CD-BDDE-A50DB3B1DB6E}">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3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3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4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4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4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4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4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4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4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4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F73383DE-D7DC-403B-A51C-72EB24C9F979}">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4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4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Shelley Thompson</author>
  </authors>
  <commentList>
    <comment ref="A1" authorId="0" shapeId="0" xr:uid="{00000000-0006-0000-0500-000001000000}">
      <text>
        <r>
          <rPr>
            <b/>
            <sz val="9"/>
            <color indexed="81"/>
            <rFont val="Tahoma"/>
            <family val="2"/>
          </rPr>
          <t>Shelley Thompson:</t>
        </r>
        <r>
          <rPr>
            <sz val="9"/>
            <color indexed="81"/>
            <rFont val="Tahoma"/>
            <family val="2"/>
          </rPr>
          <t xml:space="preserve">
Trevor &amp; I selected these areas based on the LTP performance measure defintion of 'provision in relevant plans and policies' which means "land in operative or proposed residential or business zonings in the District Plan or otherwise identified for residential or business use within LURP priority areas, supported by LTP provision for infrastructural services". </t>
        </r>
      </text>
    </comment>
    <comment ref="B1" authorId="0" shapeId="0" xr:uid="{00000000-0006-0000-0500-000002000000}">
      <text>
        <r>
          <rPr>
            <b/>
            <sz val="9"/>
            <color indexed="81"/>
            <rFont val="Tahoma"/>
            <family val="2"/>
          </rPr>
          <t>Shelley Thompson:</t>
        </r>
        <r>
          <rPr>
            <sz val="9"/>
            <color indexed="81"/>
            <rFont val="Tahoma"/>
            <family val="2"/>
          </rPr>
          <t xml:space="preserve">
Jochen/GIS measured the areas. </t>
        </r>
      </text>
    </comment>
    <comment ref="C1" authorId="0" shapeId="0" xr:uid="{00000000-0006-0000-0500-000003000000}">
      <text>
        <r>
          <rPr>
            <b/>
            <sz val="9"/>
            <color indexed="81"/>
            <rFont val="Tahoma"/>
            <family val="2"/>
          </rPr>
          <t>Shelley Thompson:</t>
        </r>
        <r>
          <rPr>
            <sz val="9"/>
            <color indexed="81"/>
            <rFont val="Tahoma"/>
            <family val="2"/>
          </rPr>
          <t xml:space="preserve">
Gross area in m2 converted to ha. </t>
        </r>
      </text>
    </comment>
    <comment ref="D1" authorId="0" shapeId="0" xr:uid="{00000000-0006-0000-0500-000004000000}">
      <text>
        <r>
          <rPr>
            <b/>
            <sz val="9"/>
            <color rgb="FF000000"/>
            <rFont val="Tahoma"/>
            <family val="2"/>
          </rPr>
          <t>Shelley Thompson:</t>
        </r>
        <r>
          <rPr>
            <sz val="9"/>
            <color rgb="FF000000"/>
            <rFont val="Tahoma"/>
            <family val="2"/>
          </rPr>
          <t xml:space="preserve">
</t>
        </r>
        <r>
          <rPr>
            <sz val="9"/>
            <color rgb="FF000000"/>
            <rFont val="Tahoma"/>
            <family val="2"/>
          </rPr>
          <t xml:space="preserve">Area of land used for roading and reserves (both stormwater detention and parks/recreational) were either based on:
</t>
        </r>
        <r>
          <rPr>
            <sz val="9"/>
            <color rgb="FF000000"/>
            <rFont val="Tahoma"/>
            <family val="2"/>
          </rPr>
          <t xml:space="preserve">
</t>
        </r>
        <r>
          <rPr>
            <sz val="9"/>
            <color rgb="FF000000"/>
            <rFont val="Tahoma"/>
            <family val="2"/>
          </rPr>
          <t xml:space="preserve">For development area's that had been developed, it is based on the actual measurements. These measurements were undertaken by GIS in 2015/2016 using a relatively crude method of calculating total road area and also calculating total reserve area (based on the assumption that land owned by WDC would be reserve land with either stormwater or recreational function). 
</t>
        </r>
        <r>
          <rPr>
            <sz val="9"/>
            <color rgb="FF000000"/>
            <rFont val="Tahoma"/>
            <family val="2"/>
          </rPr>
          <t xml:space="preserve">
</t>
        </r>
        <r>
          <rPr>
            <sz val="9"/>
            <color rgb="FF000000"/>
            <rFont val="Tahoma"/>
            <family val="2"/>
          </rPr>
          <t xml:space="preserve">For development areas that had not yet been developed, the area for roads and reserves was estimated based on 20% of land area (as per the LTP definition). 
</t>
        </r>
      </text>
    </comment>
    <comment ref="E1" authorId="0" shapeId="0" xr:uid="{00000000-0006-0000-0500-000005000000}">
      <text>
        <r>
          <rPr>
            <b/>
            <sz val="9"/>
            <color indexed="81"/>
            <rFont val="Tahoma"/>
            <family val="2"/>
          </rPr>
          <t>Shelley Thompson:</t>
        </r>
        <r>
          <rPr>
            <sz val="9"/>
            <color indexed="81"/>
            <rFont val="Tahoma"/>
            <family val="2"/>
          </rPr>
          <t xml:space="preserve">
Converted non-residential land in m2 to ha. </t>
        </r>
      </text>
    </comment>
    <comment ref="F1" authorId="0" shapeId="0" xr:uid="{00000000-0006-0000-0500-000006000000}">
      <text>
        <r>
          <rPr>
            <b/>
            <sz val="9"/>
            <color indexed="81"/>
            <rFont val="Tahoma"/>
            <family val="2"/>
          </rPr>
          <t>Shelley Thompson:</t>
        </r>
        <r>
          <rPr>
            <sz val="9"/>
            <color indexed="81"/>
            <rFont val="Tahoma"/>
            <family val="2"/>
          </rPr>
          <t xml:space="preserve">
Indicates whether an assumed area of 20% for non-residential land was used or the actual measurements based on GIS calculations. </t>
        </r>
      </text>
    </comment>
    <comment ref="G1" authorId="0" shapeId="0" xr:uid="{00000000-0006-0000-0500-000007000000}">
      <text>
        <r>
          <rPr>
            <b/>
            <sz val="9"/>
            <color indexed="81"/>
            <rFont val="Tahoma"/>
            <family val="2"/>
          </rPr>
          <t>Shelley Thompson:</t>
        </r>
        <r>
          <rPr>
            <sz val="9"/>
            <color indexed="81"/>
            <rFont val="Tahoma"/>
            <family val="2"/>
          </rPr>
          <t xml:space="preserve">
The net area is calculated as:
Gross area (ha) less Non-residential area (ha) 
Net area is the theoretical area that dwellings can be built on. </t>
        </r>
      </text>
    </comment>
    <comment ref="H1" authorId="0" shapeId="0" xr:uid="{00000000-0006-0000-0500-000008000000}">
      <text>
        <r>
          <rPr>
            <b/>
            <sz val="9"/>
            <color indexed="81"/>
            <rFont val="Tahoma"/>
            <family val="2"/>
          </rPr>
          <t>Shelley Thompson:</t>
        </r>
        <r>
          <rPr>
            <sz val="9"/>
            <color indexed="81"/>
            <rFont val="Tahoma"/>
            <family val="2"/>
          </rPr>
          <t xml:space="preserve">
This is calculated by multiplying the net area (ha) by 12. A density of 12hh/ha is used because the target given in the LTP non-financial performance measures for this monitoring is: 
Residential - 250ha/3,000 lots. 
This equates to a density of 12 hh/ha as 3,000 lots divided by 250ha = 12 hh/ha. 
This density of 12hh/ha differs from that provided in the LTP defintion of terms for '5 years supply based on recent uptake rates' which is: 
"Residential: 5 years of new residential building consent issues to the prior year ended December, equating to one dwelling per lot, a minimum residential density of 10 lots per ha and allowing for 20% of land area for roading, parks and stormwater detention. The target to be monitored and updated annually." </t>
        </r>
      </text>
    </comment>
    <comment ref="I1" authorId="0" shapeId="0" xr:uid="{25F55536-9276-4DAE-9149-7E0B2B42A84A}">
      <text>
        <r>
          <rPr>
            <b/>
            <sz val="9"/>
            <color indexed="81"/>
            <rFont val="Tahoma"/>
            <family val="2"/>
          </rPr>
          <t>Shelley Thompson:</t>
        </r>
        <r>
          <rPr>
            <sz val="9"/>
            <color indexed="81"/>
            <rFont val="Tahoma"/>
            <family val="2"/>
          </rPr>
          <t xml:space="preserve">
GIS calculate the number of non-vacant properties of an area by doing a count of the number of properties in the development area that have an improvement value exceeding $100K (therefore assumed to have a dwelling on it), or a building consent for a dwelling (either for alterations, a new dwelling, relocated dwelling or a multi-unit dwelling), or both. 
</t>
        </r>
      </text>
    </comment>
    <comment ref="J1" authorId="0" shapeId="0" xr:uid="{00000000-0006-0000-0500-00000A000000}">
      <text>
        <r>
          <rPr>
            <b/>
            <sz val="9"/>
            <color indexed="81"/>
            <rFont val="Tahoma"/>
            <family val="2"/>
          </rPr>
          <t>Shelley Thompson:</t>
        </r>
        <r>
          <rPr>
            <sz val="9"/>
            <color indexed="81"/>
            <rFont val="Tahoma"/>
            <family val="2"/>
          </rPr>
          <t xml:space="preserve">
Net capacity is calculated by the number of potential households based on 12hh/ha less the number of non-vacant properties.  </t>
        </r>
      </text>
    </comment>
    <comment ref="H7" authorId="0" shapeId="0" xr:uid="{00000000-0006-0000-0500-00000B000000}">
      <text>
        <r>
          <rPr>
            <b/>
            <sz val="9"/>
            <color indexed="81"/>
            <rFont val="Tahoma"/>
            <family val="2"/>
          </rPr>
          <t>Shelley Thompson:</t>
        </r>
        <r>
          <rPr>
            <sz val="9"/>
            <color indexed="81"/>
            <rFont val="Tahoma"/>
            <family val="2"/>
          </rPr>
          <t xml:space="preserve">
Note this is based on actual capacity from approved in resource consents RC145670 (75 lot Res 2 Zone subdivision), and RC155066 for a retirement village (comprising of 96 assisted living units, 32 apartments and 173 townhouses (also 120 care beds however these were not counted for this purpose). Therefore there is a consented total of 376 households (excluding care beds) within this development. 
</t>
        </r>
      </text>
    </comment>
  </commentList>
</comments>
</file>

<file path=xl/sharedStrings.xml><?xml version="1.0" encoding="utf-8"?>
<sst xmlns="http://schemas.openxmlformats.org/spreadsheetml/2006/main" count="1292" uniqueCount="413">
  <si>
    <t>North Rangiora Ballarat Rd</t>
  </si>
  <si>
    <t>North Rangiora Ashley St</t>
  </si>
  <si>
    <t xml:space="preserve"> Zone/Development</t>
  </si>
  <si>
    <t>Freeman</t>
  </si>
  <si>
    <t xml:space="preserve">TOTAL </t>
  </si>
  <si>
    <t xml:space="preserve">East Rangiora </t>
  </si>
  <si>
    <t>West Park</t>
  </si>
  <si>
    <t>Farmlands Development Trust</t>
  </si>
  <si>
    <t>Pegasus</t>
  </si>
  <si>
    <t>RANGIORA</t>
  </si>
  <si>
    <t>KAIAPOI</t>
  </si>
  <si>
    <t>WOODEND/PEGASUS</t>
  </si>
  <si>
    <t>Clarke</t>
  </si>
  <si>
    <t xml:space="preserve">GROSS area of zone (ha) </t>
  </si>
  <si>
    <t xml:space="preserve">GROSS Area of Zone (m2) </t>
  </si>
  <si>
    <t xml:space="preserve">Area (m2) of land for roading and reserves and SMA (actual or if not actual figures available 20% gross area assumed) </t>
  </si>
  <si>
    <t xml:space="preserve">Area (ha) roading and reserves </t>
  </si>
  <si>
    <t>% non-residential land (assumed 20% unless actual available)</t>
  </si>
  <si>
    <t>NET AREA (ha) (Gross area less area for non-res)</t>
  </si>
  <si>
    <r>
      <t xml:space="preserve">East Rangiora S </t>
    </r>
    <r>
      <rPr>
        <b/>
        <sz val="11"/>
        <rFont val="Calibri"/>
        <family val="2"/>
        <scheme val="minor"/>
      </rPr>
      <t>(LURP)</t>
    </r>
  </si>
  <si>
    <r>
      <t xml:space="preserve">Doncaster </t>
    </r>
    <r>
      <rPr>
        <b/>
        <sz val="11"/>
        <rFont val="Calibri"/>
        <family val="2"/>
        <scheme val="minor"/>
      </rPr>
      <t>(LURP)</t>
    </r>
  </si>
  <si>
    <r>
      <t xml:space="preserve">South West Rangiora </t>
    </r>
    <r>
      <rPr>
        <b/>
        <sz val="11"/>
        <rFont val="Calibri"/>
        <family val="2"/>
        <scheme val="minor"/>
      </rPr>
      <t>(LURP)</t>
    </r>
  </si>
  <si>
    <r>
      <t xml:space="preserve">Ryman </t>
    </r>
    <r>
      <rPr>
        <b/>
        <sz val="11"/>
        <rFont val="Calibri"/>
        <family val="2"/>
        <scheme val="minor"/>
      </rPr>
      <t>(LURP)</t>
    </r>
  </si>
  <si>
    <r>
      <t>Beach Grove</t>
    </r>
    <r>
      <rPr>
        <b/>
        <sz val="11"/>
        <rFont val="Calibri"/>
        <family val="2"/>
        <scheme val="minor"/>
      </rPr>
      <t xml:space="preserve"> (LURP)</t>
    </r>
  </si>
  <si>
    <r>
      <t>Silverstream</t>
    </r>
    <r>
      <rPr>
        <b/>
        <sz val="11"/>
        <rFont val="Calibri"/>
        <family val="2"/>
        <scheme val="minor"/>
      </rPr>
      <t xml:space="preserve"> (LURP)</t>
    </r>
  </si>
  <si>
    <r>
      <t>Sovereign</t>
    </r>
    <r>
      <rPr>
        <b/>
        <sz val="11"/>
        <rFont val="Calibri"/>
        <family val="2"/>
        <scheme val="minor"/>
      </rPr>
      <t xml:space="preserve"> (LURP)</t>
    </r>
  </si>
  <si>
    <r>
      <t xml:space="preserve">East Woodend </t>
    </r>
    <r>
      <rPr>
        <b/>
        <sz val="11"/>
        <rFont val="Calibri"/>
        <family val="2"/>
        <scheme val="minor"/>
      </rPr>
      <t>(LURP)</t>
    </r>
  </si>
  <si>
    <r>
      <t xml:space="preserve">Ravenswood </t>
    </r>
    <r>
      <rPr>
        <b/>
        <sz val="11"/>
        <rFont val="Calibri"/>
        <family val="2"/>
        <scheme val="minor"/>
      </rPr>
      <t>(LURP)</t>
    </r>
  </si>
  <si>
    <t>Number of potential of households based on 12 hh/ha of NET AREA</t>
  </si>
  <si>
    <t>Net capacity VACANT based on NET AREA 12hh/ha less non-vacant properties</t>
  </si>
  <si>
    <r>
      <t xml:space="preserve">East Rangiora South </t>
    </r>
    <r>
      <rPr>
        <b/>
        <sz val="11"/>
        <rFont val="Calibri"/>
        <family val="2"/>
        <scheme val="minor"/>
      </rPr>
      <t>(LURP)</t>
    </r>
  </si>
  <si>
    <t>Area (m2) of non-residential land (for roading, reserves and stormwater (actual or if not actual figures available 20% gross area assumed))</t>
  </si>
  <si>
    <t>Area (ha) of non-residential land</t>
  </si>
  <si>
    <t>Summerset</t>
  </si>
  <si>
    <t>Bellgrove</t>
  </si>
  <si>
    <t>Number of built properties</t>
  </si>
  <si>
    <t>Number of potential of households based on 12 hh/ha of NET AREA (some more than 12)</t>
  </si>
  <si>
    <t xml:space="preserve"> Zone/Development, noting this does not include the majority of Rangiora and Kaiapoi</t>
  </si>
  <si>
    <t>Bellgrove North</t>
  </si>
  <si>
    <t xml:space="preserve">Number of potential of households based on 12 hh/ha of NET AREA </t>
  </si>
  <si>
    <t>Net capacity VACANT based on NET AREA 12 hh/ha or otherwise achieved density</t>
  </si>
  <si>
    <t xml:space="preserve">Number of potential of households based on 15 hh/ha of NET AREA </t>
  </si>
  <si>
    <t>Density achieved to date</t>
  </si>
  <si>
    <t>Area total at 12 houses ha</t>
  </si>
  <si>
    <t>Area total at 15 houses ha</t>
  </si>
  <si>
    <t>% complete (at 12 houses/ha)</t>
  </si>
  <si>
    <t>Net capacity VACANT at 15 houses/ha</t>
  </si>
  <si>
    <t>Notes</t>
  </si>
  <si>
    <t xml:space="preserve">[1] The Land Use Uptake Monitoring Survey (LUMS), is undertaken for residential housing in accordance with cl 3.9 NPSUD. </t>
  </si>
  <si>
    <t>[2] The Waimakariri District Council monitors residential housing uptake in surveyed areas that correspond to large subdivision consents.</t>
  </si>
  <si>
    <t>[3] The areas monitored are mapped in Appendix 1</t>
  </si>
  <si>
    <t xml:space="preserve">Resource Consent number </t>
  </si>
  <si>
    <t>Date of when consent was received</t>
  </si>
  <si>
    <t>Kainga Ora Consent?</t>
  </si>
  <si>
    <t>Proposal</t>
  </si>
  <si>
    <t>Number of units</t>
  </si>
  <si>
    <t>How many storeys</t>
  </si>
  <si>
    <t>Total dwellings</t>
  </si>
  <si>
    <t>Status of application</t>
  </si>
  <si>
    <t xml:space="preserve">Site area </t>
  </si>
  <si>
    <t>Average area density area per unit</t>
  </si>
  <si>
    <t>Address</t>
  </si>
  <si>
    <t>Town</t>
  </si>
  <si>
    <t>Comments</t>
  </si>
  <si>
    <t>RC165012</t>
  </si>
  <si>
    <r>
      <t xml:space="preserve">TO ERECT </t>
    </r>
    <r>
      <rPr>
        <b/>
        <sz val="9"/>
        <color theme="1"/>
        <rFont val="Calibri"/>
        <family val="2"/>
      </rPr>
      <t>4 DWELLINGS</t>
    </r>
    <r>
      <rPr>
        <sz val="9"/>
        <color theme="1"/>
        <rFont val="Calibri"/>
        <family val="2"/>
      </rPr>
      <t xml:space="preserve"> AS A COMPREHENSIVE DEVELOPMENT</t>
    </r>
  </si>
  <si>
    <t>Decision Issued</t>
  </si>
  <si>
    <t>1229 m 2</t>
  </si>
  <si>
    <t>307 m2</t>
  </si>
  <si>
    <t>34 Williams Street, KAIAPOI</t>
  </si>
  <si>
    <t>Kaiapoi</t>
  </si>
  <si>
    <t>RC165043</t>
  </si>
  <si>
    <r>
      <t xml:space="preserve">TO ERECT </t>
    </r>
    <r>
      <rPr>
        <b/>
        <sz val="9"/>
        <color theme="1"/>
        <rFont val="Calibri"/>
        <family val="2"/>
      </rPr>
      <t>4 DWELLINGS</t>
    </r>
    <r>
      <rPr>
        <sz val="9"/>
        <color theme="1"/>
        <rFont val="Calibri"/>
        <family val="2"/>
      </rPr>
      <t xml:space="preserve"> AS A COMPREHENSIVE DEVELOPMENT.</t>
    </r>
  </si>
  <si>
    <t>1396 m2</t>
  </si>
  <si>
    <t>349 m2</t>
  </si>
  <si>
    <t>65 Beachvale Drive, KAIAPOI</t>
  </si>
  <si>
    <t>RC165147</t>
  </si>
  <si>
    <r>
      <t xml:space="preserve">TO ERECT </t>
    </r>
    <r>
      <rPr>
        <b/>
        <sz val="9"/>
        <color theme="1"/>
        <rFont val="Calibri"/>
        <family val="2"/>
      </rPr>
      <t>16 DWELLINGS</t>
    </r>
    <r>
      <rPr>
        <sz val="9"/>
        <color theme="1"/>
        <rFont val="Calibri"/>
        <family val="2"/>
      </rPr>
      <t xml:space="preserve"> AS PART OF A CRD ON AREA B4 OF SILVERSTREAM ESTATES</t>
    </r>
  </si>
  <si>
    <t>3818 m 2</t>
  </si>
  <si>
    <t>239 m2</t>
  </si>
  <si>
    <t>31 Footbridge Terrace, KAIAPOI</t>
  </si>
  <si>
    <t>RC165073</t>
  </si>
  <si>
    <r>
      <t xml:space="preserve">TO ERECT </t>
    </r>
    <r>
      <rPr>
        <b/>
        <sz val="9"/>
        <color theme="1"/>
        <rFont val="Calibri"/>
        <family val="2"/>
      </rPr>
      <t>21 DWELLINGS</t>
    </r>
    <r>
      <rPr>
        <sz val="9"/>
        <color theme="1"/>
        <rFont val="Calibri"/>
        <family val="2"/>
      </rPr>
      <t xml:space="preserve"> AS PART OF COMPREHENSIVE DEVELOPMENT </t>
    </r>
  </si>
  <si>
    <t>9500 m 2</t>
  </si>
  <si>
    <t>452 m2</t>
  </si>
  <si>
    <t>73 Kippenberger Avenue, RANGIORA</t>
  </si>
  <si>
    <t>Rangiora</t>
  </si>
  <si>
    <t>RC165100</t>
  </si>
  <si>
    <r>
      <t xml:space="preserve">TO ERECT </t>
    </r>
    <r>
      <rPr>
        <b/>
        <sz val="9"/>
        <color theme="1"/>
        <rFont val="Calibri"/>
        <family val="2"/>
      </rPr>
      <t>6 DWELLINGS</t>
    </r>
    <r>
      <rPr>
        <sz val="9"/>
        <color theme="1"/>
        <rFont val="Calibri"/>
        <family val="2"/>
      </rPr>
      <t xml:space="preserve"> AS A COMPREHENSIVE RESIDENTIAL DEVELOPMENT</t>
    </r>
  </si>
  <si>
    <t>2627 m2</t>
  </si>
  <si>
    <t>438 m2</t>
  </si>
  <si>
    <t>2 Ballarat Road, RANGIORA</t>
  </si>
  <si>
    <t>RC165129</t>
  </si>
  <si>
    <r>
      <t>LAND USE CONSENT FOR A 8</t>
    </r>
    <r>
      <rPr>
        <b/>
        <sz val="9"/>
        <color theme="1"/>
        <rFont val="Calibri"/>
        <family val="2"/>
      </rPr>
      <t xml:space="preserve"> DWELLINGS</t>
    </r>
    <r>
      <rPr>
        <sz val="9"/>
        <color theme="1"/>
        <rFont val="Calibri"/>
        <family val="2"/>
      </rPr>
      <t xml:space="preserve"> AS PART OF A COMPREHENSIVE RESIDENTIAL DEVELOPMENT (CRD).</t>
    </r>
  </si>
  <si>
    <t>1929m 2</t>
  </si>
  <si>
    <t>241 m 2</t>
  </si>
  <si>
    <t>29 Victoria Street, RANGIORA</t>
  </si>
  <si>
    <t>RC165162</t>
  </si>
  <si>
    <r>
      <t>TO CONSTRUCT 90</t>
    </r>
    <r>
      <rPr>
        <b/>
        <sz val="9"/>
        <color theme="1"/>
        <rFont val="Calibri"/>
        <family val="2"/>
      </rPr>
      <t xml:space="preserve"> INDIVIDUAL RESIDENTIAL UNITS</t>
    </r>
    <r>
      <rPr>
        <sz val="9"/>
        <color theme="1"/>
        <rFont val="Calibri"/>
        <family val="2"/>
      </rPr>
      <t xml:space="preserve"> AS PART OF A RETIREMENT VILLAGE AND CRD AND   UNDERTAKE EARTHWORKS OF 30,000M3</t>
    </r>
  </si>
  <si>
    <t>62750 m 2</t>
  </si>
  <si>
    <t>697 m2</t>
  </si>
  <si>
    <t>67 Brick Kiln Road (Pvt), RANGIORA</t>
  </si>
  <si>
    <t>RC165199</t>
  </si>
  <si>
    <r>
      <t xml:space="preserve">TO ERECT </t>
    </r>
    <r>
      <rPr>
        <b/>
        <sz val="9"/>
        <color theme="1"/>
        <rFont val="Calibri"/>
        <family val="2"/>
      </rPr>
      <t>20 DWELLINGS</t>
    </r>
    <r>
      <rPr>
        <sz val="9"/>
        <color theme="1"/>
        <rFont val="Calibri"/>
        <family val="2"/>
      </rPr>
      <t xml:space="preserve"> ON LOTS UNDER 600M2 IN THE RES 2 ZONE AS PART OF A CRD </t>
    </r>
  </si>
  <si>
    <t>11534 m 2</t>
  </si>
  <si>
    <t>576 m2</t>
  </si>
  <si>
    <t>90 East Belt, RANGIORA</t>
  </si>
  <si>
    <t>RC175169</t>
  </si>
  <si>
    <t xml:space="preserve">Yes </t>
  </si>
  <si>
    <r>
      <t xml:space="preserve">(HNZ) COMPREHENSIVE RESIDENTIAL DEVELOPMENT OF </t>
    </r>
    <r>
      <rPr>
        <b/>
        <sz val="9"/>
        <color theme="1"/>
        <rFont val="Calibri"/>
        <family val="2"/>
      </rPr>
      <t>28 RESIDENTIAL UNITS</t>
    </r>
    <r>
      <rPr>
        <sz val="9"/>
        <color theme="1"/>
        <rFont val="Calibri"/>
        <family val="2"/>
      </rPr>
      <t xml:space="preserve"> WITH ON-SITE CAR PARKING AND LANDSCAPING</t>
    </r>
  </si>
  <si>
    <t>5724 m 2</t>
  </si>
  <si>
    <t>204 m 2</t>
  </si>
  <si>
    <t>77 White Street, RANGIORA</t>
  </si>
  <si>
    <t>Subtotal 2016-2018</t>
  </si>
  <si>
    <t>Annualised</t>
  </si>
  <si>
    <t>Woodend</t>
  </si>
  <si>
    <t>RC185072</t>
  </si>
  <si>
    <r>
      <t>TO ERECT</t>
    </r>
    <r>
      <rPr>
        <b/>
        <sz val="9"/>
        <color theme="1"/>
        <rFont val="Calibri"/>
        <family val="2"/>
      </rPr>
      <t xml:space="preserve"> 7 DWELLINGS</t>
    </r>
    <r>
      <rPr>
        <sz val="9"/>
        <color theme="1"/>
        <rFont val="Calibri"/>
        <family val="2"/>
      </rPr>
      <t xml:space="preserve"> ON CRD LOTS BEING LOTS 123, 125 - 130 CREATED FROM RC185071</t>
    </r>
  </si>
  <si>
    <t>2741 m 2</t>
  </si>
  <si>
    <t>391 m 2</t>
  </si>
  <si>
    <t>36 Salisbury Avenue, RANGIORA</t>
  </si>
  <si>
    <t>RC185075</t>
  </si>
  <si>
    <r>
      <t xml:space="preserve">TO ERECT </t>
    </r>
    <r>
      <rPr>
        <b/>
        <sz val="9"/>
        <color theme="1"/>
        <rFont val="Calibri"/>
        <family val="2"/>
      </rPr>
      <t>4 DWELLINGS</t>
    </r>
    <r>
      <rPr>
        <sz val="9"/>
        <color theme="1"/>
        <rFont val="Calibri"/>
        <family val="2"/>
      </rPr>
      <t xml:space="preserve"> AS A COMPREHENSIVE RESIDENTIAL DEVELOPMENT</t>
    </r>
  </si>
  <si>
    <t>1322 m2</t>
  </si>
  <si>
    <t>330 m2</t>
  </si>
  <si>
    <t>21 Salisbury Avenue, RANGIORA</t>
  </si>
  <si>
    <t>RC185078</t>
  </si>
  <si>
    <t>2306 m2</t>
  </si>
  <si>
    <t>384 m2</t>
  </si>
  <si>
    <t>34 Chatsworth Avenue, RANGIORA</t>
  </si>
  <si>
    <t>RC185094</t>
  </si>
  <si>
    <r>
      <t xml:space="preserve">TO ERECT </t>
    </r>
    <r>
      <rPr>
        <b/>
        <sz val="9"/>
        <color theme="1"/>
        <rFont val="Calibri"/>
        <family val="2"/>
      </rPr>
      <t>5 DWELLINGS</t>
    </r>
    <r>
      <rPr>
        <sz val="9"/>
        <color theme="1"/>
        <rFont val="Calibri"/>
        <family val="2"/>
      </rPr>
      <t xml:space="preserve"> AS PART OF A COMPREHENSIVE RESIDENTIAL DEVELOPMENT</t>
    </r>
  </si>
  <si>
    <t>2036 m2</t>
  </si>
  <si>
    <t>407 m 2</t>
  </si>
  <si>
    <t>5 Porter Place, KAIAPOI</t>
  </si>
  <si>
    <t>RC195229</t>
  </si>
  <si>
    <r>
      <t xml:space="preserve">TO ERECT </t>
    </r>
    <r>
      <rPr>
        <b/>
        <sz val="9"/>
        <color theme="1"/>
        <rFont val="Calibri"/>
        <family val="2"/>
      </rPr>
      <t>20 DWELLINGS</t>
    </r>
    <r>
      <rPr>
        <sz val="9"/>
        <color theme="1"/>
        <rFont val="Calibri"/>
        <family val="2"/>
      </rPr>
      <t xml:space="preserve"> AS A COMPREHENSIVE RESIDENTIAL DEVELOPMENT</t>
    </r>
  </si>
  <si>
    <t>8356 m 2</t>
  </si>
  <si>
    <t>417 m 2</t>
  </si>
  <si>
    <t>136 Northbrook Road, RANGIORA</t>
  </si>
  <si>
    <t>RC195360</t>
  </si>
  <si>
    <r>
      <t xml:space="preserve">TO CONSTRUCT </t>
    </r>
    <r>
      <rPr>
        <b/>
        <sz val="9"/>
        <color theme="1"/>
        <rFont val="Calibri"/>
        <family val="2"/>
      </rPr>
      <t>4 DWELLINGS</t>
    </r>
    <r>
      <rPr>
        <sz val="9"/>
        <color theme="1"/>
        <rFont val="Calibri"/>
        <family val="2"/>
      </rPr>
      <t xml:space="preserve"> AS A CRD PROPOSAL WITH ASSOCIATED CARPARKING &amp; LANDSCAPING </t>
    </r>
  </si>
  <si>
    <t>779 m 2</t>
  </si>
  <si>
    <t>195 m2</t>
  </si>
  <si>
    <t>2 A Rata Street, RANGIORA</t>
  </si>
  <si>
    <t>RC205093</t>
  </si>
  <si>
    <r>
      <t xml:space="preserve">TO CONSTRUCT </t>
    </r>
    <r>
      <rPr>
        <b/>
        <sz val="9"/>
        <color theme="1"/>
        <rFont val="Calibri"/>
        <family val="2"/>
      </rPr>
      <t>5 DWELLINGS</t>
    </r>
    <r>
      <rPr>
        <sz val="9"/>
        <color theme="1"/>
        <rFont val="Calibri"/>
        <family val="2"/>
      </rPr>
      <t xml:space="preserve"> AS A CRD PROPOSAL</t>
    </r>
  </si>
  <si>
    <t>1571 m2</t>
  </si>
  <si>
    <t>314 m 2</t>
  </si>
  <si>
    <t>28 Sandown Boulevard, RANGIORA</t>
  </si>
  <si>
    <t>RC205200</t>
  </si>
  <si>
    <r>
      <t xml:space="preserve">LAND USE CONSENT FOR A </t>
    </r>
    <r>
      <rPr>
        <b/>
        <sz val="9"/>
        <color theme="1"/>
        <rFont val="Calibri"/>
        <family val="2"/>
      </rPr>
      <t>4 LOT COMPREHENSIVE RESIDENTIAL DEVELOPMENT</t>
    </r>
    <r>
      <rPr>
        <sz val="9"/>
        <color theme="1"/>
        <rFont val="Calibri"/>
        <family val="2"/>
      </rPr>
      <t xml:space="preserve"> CRD CREATED FROM SUBDIVISION OF RC205199</t>
    </r>
  </si>
  <si>
    <t>1342m2</t>
  </si>
  <si>
    <t>335.5m 2</t>
  </si>
  <si>
    <t>21 Victoria Street, RANGIORA</t>
  </si>
  <si>
    <t>RC205280</t>
  </si>
  <si>
    <r>
      <t xml:space="preserve">CRD COMPRISING </t>
    </r>
    <r>
      <rPr>
        <b/>
        <sz val="9"/>
        <color theme="1"/>
        <rFont val="Calibri"/>
        <family val="2"/>
      </rPr>
      <t>71 DWELLINGS</t>
    </r>
    <r>
      <rPr>
        <sz val="9"/>
        <color theme="1"/>
        <rFont val="Calibri"/>
        <family val="2"/>
      </rPr>
      <t xml:space="preserve"> ASSOCIATED WITH RETIREMENT LIVING AND CLUB HOUSE, TO UNDERTAKE EARTHWORKS AND CONSENT UNDER THE NESCS FOR SOIL DISTURBANCE AND REMOVAL.</t>
    </r>
  </si>
  <si>
    <t>19951 m 2</t>
  </si>
  <si>
    <t>281 m2</t>
  </si>
  <si>
    <t>39 Pentecost Road, RANGIORA</t>
  </si>
  <si>
    <t>RC205357</t>
  </si>
  <si>
    <r>
      <t xml:space="preserve">TO CONSTRUCT </t>
    </r>
    <r>
      <rPr>
        <b/>
        <sz val="9"/>
        <color theme="1"/>
        <rFont val="Calibri"/>
        <family val="2"/>
      </rPr>
      <t>6 DWELLINGS AND RETAIN AN EXISTING DWELLING</t>
    </r>
    <r>
      <rPr>
        <sz val="9"/>
        <color theme="1"/>
        <rFont val="Calibri"/>
        <family val="2"/>
      </rPr>
      <t xml:space="preserve"> AS PART OF A CRD PROPOSAL</t>
    </r>
  </si>
  <si>
    <t>2570m 2</t>
  </si>
  <si>
    <t>367 m2</t>
  </si>
  <si>
    <t>4 Pearson Lane, RANGIORA</t>
  </si>
  <si>
    <t>RC195253</t>
  </si>
  <si>
    <t>Yes</t>
  </si>
  <si>
    <r>
      <t xml:space="preserve">LAND USE FOR COMPREHENSIVE RESIDENTIAL DEVELOPMENT OF </t>
    </r>
    <r>
      <rPr>
        <b/>
        <sz val="9"/>
        <color theme="1"/>
        <rFont val="Calibri"/>
        <family val="2"/>
      </rPr>
      <t xml:space="preserve">5 UNITS </t>
    </r>
    <r>
      <rPr>
        <sz val="9"/>
        <color theme="1"/>
        <rFont val="Calibri"/>
        <family val="2"/>
      </rPr>
      <t>WITH ASSOCIATED ONSITE CAR PARKING AND LANDSCAPING</t>
    </r>
  </si>
  <si>
    <t>1266m2</t>
  </si>
  <si>
    <t>253.2 m2</t>
  </si>
  <si>
    <t>219 Williams Street, Kaiapoi</t>
  </si>
  <si>
    <t>RC195356</t>
  </si>
  <si>
    <r>
      <t xml:space="preserve">DEVELOPMENT OF </t>
    </r>
    <r>
      <rPr>
        <b/>
        <sz val="9"/>
        <color theme="1"/>
        <rFont val="Calibri"/>
        <family val="2"/>
      </rPr>
      <t>15 DWELLINGS</t>
    </r>
    <r>
      <rPr>
        <sz val="9"/>
        <color theme="1"/>
        <rFont val="Calibri"/>
        <family val="2"/>
      </rPr>
      <t xml:space="preserve"> AS PART OF A CRD PROPOSAL WITH ASSOCIATED CAR PARKING AND LANDSCAPING AND CONSENT UNDER NES FOR EARTHWORKS</t>
    </r>
  </si>
  <si>
    <t>4336 m 2</t>
  </si>
  <si>
    <t>289 m2</t>
  </si>
  <si>
    <t>40 Dale Street, KAIAPOI</t>
  </si>
  <si>
    <t>RC195355</t>
  </si>
  <si>
    <r>
      <t xml:space="preserve">CONSTRUCTION OF </t>
    </r>
    <r>
      <rPr>
        <b/>
        <sz val="9"/>
        <color theme="1"/>
        <rFont val="Calibri"/>
        <family val="2"/>
      </rPr>
      <t>12 DWELLINGS</t>
    </r>
    <r>
      <rPr>
        <sz val="9"/>
        <color theme="1"/>
        <rFont val="Calibri"/>
        <family val="2"/>
      </rPr>
      <t xml:space="preserve"> AS PART OF A CRD PROPOSAL ON LOTS CREATED FROM RC195354</t>
    </r>
  </si>
  <si>
    <t>2396m 2</t>
  </si>
  <si>
    <t>199 m 2</t>
  </si>
  <si>
    <t>48 Storer Street, KAIAPOI</t>
  </si>
  <si>
    <t>RC205074</t>
  </si>
  <si>
    <r>
      <t xml:space="preserve">LAND USE FOR </t>
    </r>
    <r>
      <rPr>
        <b/>
        <sz val="9"/>
        <color theme="1"/>
        <rFont val="Calibri"/>
        <family val="2"/>
      </rPr>
      <t xml:space="preserve">5 DWELLINGS </t>
    </r>
    <r>
      <rPr>
        <sz val="9"/>
        <color theme="1"/>
        <rFont val="Calibri"/>
        <family val="2"/>
      </rPr>
      <t xml:space="preserve">AS PART OF A CRD DEVELOPMENT </t>
    </r>
  </si>
  <si>
    <t>2449 m2</t>
  </si>
  <si>
    <t>490 m2</t>
  </si>
  <si>
    <t>8 Main North Road (Sh 1), WOODEND</t>
  </si>
  <si>
    <t>RC195349</t>
  </si>
  <si>
    <r>
      <t xml:space="preserve">DEVELOPMENT OF </t>
    </r>
    <r>
      <rPr>
        <b/>
        <sz val="9"/>
        <color theme="1"/>
        <rFont val="Calibri"/>
        <family val="2"/>
      </rPr>
      <t>13 DWELLINGS</t>
    </r>
    <r>
      <rPr>
        <sz val="9"/>
        <color theme="1"/>
        <rFont val="Calibri"/>
        <family val="2"/>
      </rPr>
      <t xml:space="preserve"> AS PART OF A CRD PROPOSAL RELATING TO RC195348</t>
    </r>
  </si>
  <si>
    <t>4407 m 2</t>
  </si>
  <si>
    <t>339 m2</t>
  </si>
  <si>
    <t>18 Main Street, OXFORD</t>
  </si>
  <si>
    <t>Subtotal 2018-2020</t>
  </si>
  <si>
    <t>Other</t>
  </si>
  <si>
    <t>RC215418</t>
  </si>
  <si>
    <r>
      <t xml:space="preserve">TO CONSTRUCT </t>
    </r>
    <r>
      <rPr>
        <b/>
        <sz val="9"/>
        <color theme="1"/>
        <rFont val="Calibri"/>
        <family val="2"/>
      </rPr>
      <t xml:space="preserve">237 RESIDENTIAL UNITS ASSOCIATED WITH A RETIREMENT VILLAGE </t>
    </r>
    <r>
      <rPr>
        <sz val="9"/>
        <color theme="1"/>
        <rFont val="Calibri"/>
        <family val="2"/>
      </rPr>
      <t xml:space="preserve">WITH  CAR PARKING, SIGNAGE AND LANDSCAPING (CRD), UNDERTAKE EARTHWORKS </t>
    </r>
  </si>
  <si>
    <t>39079 m 2</t>
  </si>
  <si>
    <t>164 m 2</t>
  </si>
  <si>
    <t>30 Bob Robertson Drive, WOODEND</t>
  </si>
  <si>
    <t>RC225184</t>
  </si>
  <si>
    <r>
      <t xml:space="preserve">TO CONSTRUCT </t>
    </r>
    <r>
      <rPr>
        <b/>
        <sz val="9"/>
        <color theme="1"/>
        <rFont val="Calibri"/>
        <family val="2"/>
      </rPr>
      <t>48 RESIDENTIAL UNITS</t>
    </r>
    <r>
      <rPr>
        <sz val="9"/>
        <color theme="1"/>
        <rFont val="Calibri"/>
        <family val="2"/>
      </rPr>
      <t xml:space="preserve"> AS PART OF CRD PROPOSAL </t>
    </r>
  </si>
  <si>
    <t>15530 m 2</t>
  </si>
  <si>
    <t>323 m2</t>
  </si>
  <si>
    <t>50 Parsonage Road, WOODEND</t>
  </si>
  <si>
    <t>RC235244</t>
  </si>
  <si>
    <r>
      <t xml:space="preserve">TO CONSTRUCT </t>
    </r>
    <r>
      <rPr>
        <b/>
        <sz val="9"/>
        <color theme="1"/>
        <rFont val="Calibri"/>
        <family val="2"/>
      </rPr>
      <t>17 SINGLE STOREY AND 7 TWO STOREY RESIDENTIAL UNITS</t>
    </r>
    <r>
      <rPr>
        <sz val="9"/>
        <color theme="1"/>
        <rFont val="Calibri"/>
        <family val="2"/>
      </rPr>
      <t xml:space="preserve"> WITH ASSOCIATED COMMUNAL PARKING AND PRIVATE GARAGES</t>
    </r>
  </si>
  <si>
    <t>Awaiting Further Information</t>
  </si>
  <si>
    <t>7853 m2</t>
  </si>
  <si>
    <t>327 m2</t>
  </si>
  <si>
    <t>2 Main North Road (SH1), WOODEND</t>
  </si>
  <si>
    <t>RC235059</t>
  </si>
  <si>
    <r>
      <t xml:space="preserve">TO CONSTRUCT </t>
    </r>
    <r>
      <rPr>
        <b/>
        <sz val="9"/>
        <color theme="1"/>
        <rFont val="Calibri"/>
        <family val="2"/>
      </rPr>
      <t>16 RESIDENTIAL UNITS</t>
    </r>
    <r>
      <rPr>
        <sz val="9"/>
        <color theme="1"/>
        <rFont val="Calibri"/>
        <family val="2"/>
      </rPr>
      <t xml:space="preserve"> AS PART OF A COMPREHENSIVE RESIDENTIAL DEVELOPMENT</t>
    </r>
  </si>
  <si>
    <t>Waiting for Further Information</t>
  </si>
  <si>
    <t>2794 m2</t>
  </si>
  <si>
    <t>174 m2</t>
  </si>
  <si>
    <t>89 Sneyd Street KAIAPOI</t>
  </si>
  <si>
    <t>6x one storey &amp; 10x two storey</t>
  </si>
  <si>
    <t xml:space="preserve">Awaiting Further Information </t>
  </si>
  <si>
    <t>2795 m2</t>
  </si>
  <si>
    <t>89 Sneyd Street, KAIAPOI</t>
  </si>
  <si>
    <t>RC215567</t>
  </si>
  <si>
    <r>
      <t xml:space="preserve">TO CONSTRUCT </t>
    </r>
    <r>
      <rPr>
        <b/>
        <sz val="9"/>
        <color theme="1"/>
        <rFont val="Calibri"/>
        <family val="2"/>
      </rPr>
      <t>4 DWELLINGS</t>
    </r>
    <r>
      <rPr>
        <sz val="9"/>
        <color theme="1"/>
        <rFont val="Calibri"/>
        <family val="2"/>
      </rPr>
      <t xml:space="preserve"> WITH ASSOCIATED CAR PARKING AND LANDSCAPING AS PART OF A CRD</t>
    </r>
  </si>
  <si>
    <t>1195m 2</t>
  </si>
  <si>
    <t>298 m2</t>
  </si>
  <si>
    <t>30 Otaki Street, KAIAPOI</t>
  </si>
  <si>
    <t>RC215600</t>
  </si>
  <si>
    <r>
      <t xml:space="preserve">TO CONSTRUCT </t>
    </r>
    <r>
      <rPr>
        <b/>
        <sz val="9"/>
        <color theme="1"/>
        <rFont val="Calibri"/>
        <family val="2"/>
      </rPr>
      <t>5 DWELLINGS</t>
    </r>
    <r>
      <rPr>
        <sz val="9"/>
        <color theme="1"/>
        <rFont val="Calibri"/>
        <family val="2"/>
      </rPr>
      <t xml:space="preserve"> AS PART OF A CRD ON LOTS ASSOCIATED WITH SUBDIVISON RC215599</t>
    </r>
  </si>
  <si>
    <t>1055 m2</t>
  </si>
  <si>
    <t>211 m2</t>
  </si>
  <si>
    <t>20 Wesley Street, KAIAPOI</t>
  </si>
  <si>
    <t>RC225056</t>
  </si>
  <si>
    <r>
      <t xml:space="preserve">CONSTRUCTION OF </t>
    </r>
    <r>
      <rPr>
        <b/>
        <sz val="9"/>
        <color theme="1"/>
        <rFont val="Calibri"/>
        <family val="2"/>
      </rPr>
      <t>4 DWELLINGS</t>
    </r>
    <r>
      <rPr>
        <sz val="9"/>
        <color theme="1"/>
        <rFont val="Calibri"/>
        <family val="2"/>
      </rPr>
      <t xml:space="preserve"> WITH ASSOCIATED LANDSCAPING AND CARPARKING AS PART OF A CRD PROPOSAL</t>
    </r>
  </si>
  <si>
    <t>810 m2</t>
  </si>
  <si>
    <t>202 m2</t>
  </si>
  <si>
    <t>152 Ohoka Road, KAIAPOI</t>
  </si>
  <si>
    <t>RC225144</t>
  </si>
  <si>
    <r>
      <t xml:space="preserve">TO CONSTRUCT </t>
    </r>
    <r>
      <rPr>
        <b/>
        <sz val="9"/>
        <color theme="1"/>
        <rFont val="Calibri"/>
        <family val="2"/>
      </rPr>
      <t>6 DWELLINGS</t>
    </r>
    <r>
      <rPr>
        <sz val="9"/>
        <color theme="1"/>
        <rFont val="Calibri"/>
        <family val="2"/>
      </rPr>
      <t xml:space="preserve"> AS PART OF A CRD PROPOSAL AND UNDERTAKE EARTHWORKS EXCEEDING PERMITTED STANDARDS FOR EARTHWORKS</t>
    </r>
  </si>
  <si>
    <t>1592 m2</t>
  </si>
  <si>
    <t>265 m2</t>
  </si>
  <si>
    <t>6 Princess Place, KAIAPOI</t>
  </si>
  <si>
    <t>RC225165</t>
  </si>
  <si>
    <r>
      <t xml:space="preserve">TO CONSTRUCT </t>
    </r>
    <r>
      <rPr>
        <b/>
        <sz val="9"/>
        <color theme="1"/>
        <rFont val="Calibri"/>
        <family val="2"/>
      </rPr>
      <t>8 DWELLINGS</t>
    </r>
    <r>
      <rPr>
        <sz val="9"/>
        <color theme="1"/>
        <rFont val="Calibri"/>
        <family val="2"/>
      </rPr>
      <t xml:space="preserve"> AS PART OF A CRD PROPOSAL </t>
    </r>
  </si>
  <si>
    <t>Cancelled</t>
  </si>
  <si>
    <t>1257m2</t>
  </si>
  <si>
    <t>157m2</t>
  </si>
  <si>
    <t>28 Cridland Street, KAIAPOI</t>
  </si>
  <si>
    <t>RC application was withdrawn. High hazard flood area. FFL was approx. 1.1m above ground level. The applicant advised this was 'ridiculous' and that Kainga Ora didn't want a develoment with those heights, so withdrew the application.</t>
  </si>
  <si>
    <t>RC225180</t>
  </si>
  <si>
    <r>
      <t xml:space="preserve">CONSTRUCTION OF </t>
    </r>
    <r>
      <rPr>
        <b/>
        <sz val="9"/>
        <color theme="1"/>
        <rFont val="Calibri"/>
        <family val="2"/>
      </rPr>
      <t>6 DOUBLE STOREY DWELLINGS</t>
    </r>
    <r>
      <rPr>
        <sz val="9"/>
        <color theme="1"/>
        <rFont val="Calibri"/>
        <family val="2"/>
      </rPr>
      <t xml:space="preserve"> AS PART OF A CRD PROPOSAL</t>
    </r>
  </si>
  <si>
    <t>964 m2</t>
  </si>
  <si>
    <t>160 m2</t>
  </si>
  <si>
    <t>236 Williams Street, KAIAPOI</t>
  </si>
  <si>
    <t>RC225186</t>
  </si>
  <si>
    <r>
      <t xml:space="preserve">CONSTRUCTION OF </t>
    </r>
    <r>
      <rPr>
        <b/>
        <sz val="9"/>
        <color theme="1"/>
        <rFont val="Calibri"/>
        <family val="2"/>
      </rPr>
      <t>4 SINGLE STOREY DWELLINGS</t>
    </r>
    <r>
      <rPr>
        <sz val="9"/>
        <color theme="1"/>
        <rFont val="Calibri"/>
        <family val="2"/>
      </rPr>
      <t xml:space="preserve"> AS PART OF A CRD ON RC225185</t>
    </r>
  </si>
  <si>
    <t>1123 m2</t>
  </si>
  <si>
    <t>280 m2</t>
  </si>
  <si>
    <t>36 Dale Street, KAIAPOI</t>
  </si>
  <si>
    <t>RC225210</t>
  </si>
  <si>
    <r>
      <t xml:space="preserve">TO CONSTRUCT </t>
    </r>
    <r>
      <rPr>
        <b/>
        <sz val="9"/>
        <color theme="1"/>
        <rFont val="Calibri"/>
        <family val="2"/>
      </rPr>
      <t>14 DWELLINGS</t>
    </r>
    <r>
      <rPr>
        <sz val="9"/>
        <color theme="1"/>
        <rFont val="Calibri"/>
        <family val="2"/>
      </rPr>
      <t xml:space="preserve"> AS PART OF A CRD PROPOSAL AND UNDERTAKE EARTHWORKS EXCEEDING PERMITTED STANDARDS FOR EARTHWORKS</t>
    </r>
  </si>
  <si>
    <t>3319 m2</t>
  </si>
  <si>
    <t>237 m2</t>
  </si>
  <si>
    <t>10 Princess Place, KAIAPOI</t>
  </si>
  <si>
    <t>RC225322</t>
  </si>
  <si>
    <r>
      <t xml:space="preserve">TO ERECT </t>
    </r>
    <r>
      <rPr>
        <b/>
        <sz val="9"/>
        <color theme="1"/>
        <rFont val="Calibri"/>
        <family val="2"/>
      </rPr>
      <t>5 DWELLINGS</t>
    </r>
    <r>
      <rPr>
        <sz val="9"/>
        <color theme="1"/>
        <rFont val="Calibri"/>
        <family val="2"/>
      </rPr>
      <t xml:space="preserve"> IN THE RES 1 ZONE AS PART OF A CRD PROPOSAL</t>
    </r>
  </si>
  <si>
    <t>1550 m2</t>
  </si>
  <si>
    <t>230 m2</t>
  </si>
  <si>
    <t>112 Williams Street, KAIAPOI</t>
  </si>
  <si>
    <t>RC215016</t>
  </si>
  <si>
    <r>
      <t xml:space="preserve">DEVELOPMENT AND CONSTRUCTION OF </t>
    </r>
    <r>
      <rPr>
        <b/>
        <sz val="9"/>
        <color theme="1"/>
        <rFont val="Calibri"/>
        <family val="2"/>
      </rPr>
      <t>13 DWELLINGS</t>
    </r>
    <r>
      <rPr>
        <sz val="9"/>
        <color theme="1"/>
        <rFont val="Calibri"/>
        <family val="2"/>
      </rPr>
      <t xml:space="preserve"> AND RETENTION OF 2 EXISTING DWELLINGS AS PART OF A CRD PROPOSAL WITH ASSOCIATED CAR PARKING AND LANDSCAPING</t>
    </r>
  </si>
  <si>
    <t>6192 m2</t>
  </si>
  <si>
    <t>412 m2</t>
  </si>
  <si>
    <t>11 Oxford Road, RANGIORA</t>
  </si>
  <si>
    <t>RC215574</t>
  </si>
  <si>
    <t>TO CONSTRUCT 3 DWELLINGS WITH ASSOCIATED LANDSCAPING AND CAR PARKING</t>
  </si>
  <si>
    <t>930 m2</t>
  </si>
  <si>
    <t>310 m2</t>
  </si>
  <si>
    <t>237 King Street RANGIORA</t>
  </si>
  <si>
    <t>RC225037</t>
  </si>
  <si>
    <r>
      <t xml:space="preserve">TO CONSTRUCT </t>
    </r>
    <r>
      <rPr>
        <b/>
        <sz val="9"/>
        <color theme="1"/>
        <rFont val="Calibri"/>
        <family val="2"/>
      </rPr>
      <t>10 DETACHED SINGLE STOREY</t>
    </r>
    <r>
      <rPr>
        <sz val="9"/>
        <color theme="1"/>
        <rFont val="Calibri"/>
        <family val="2"/>
      </rPr>
      <t xml:space="preserve"> RESIDENTIAL UNITS WITH ASSOCIATED CAR PARKING AND LANDSCAPING AS PART OF A COMPREHENSIVE RESIDENTIAL DEVELOPMENT</t>
    </r>
  </si>
  <si>
    <t>3611 m2</t>
  </si>
  <si>
    <t>361 m2</t>
  </si>
  <si>
    <t>57 A Kippenberger Avenue RANGIORA</t>
  </si>
  <si>
    <t>RC225091</t>
  </si>
  <si>
    <r>
      <t xml:space="preserve">CRD COMPRISING </t>
    </r>
    <r>
      <rPr>
        <b/>
        <sz val="9"/>
        <color theme="1"/>
        <rFont val="Calibri"/>
        <family val="2"/>
      </rPr>
      <t>125 DWELLING UNITS</t>
    </r>
    <r>
      <rPr>
        <sz val="9"/>
        <color theme="1"/>
        <rFont val="Calibri"/>
        <family val="2"/>
      </rPr>
      <t xml:space="preserve"> &amp; A CLUB HOUSE, UNDERTAKE EARTHWORKS EXCEEDING 300M³ PER 1000M² AND CONSENT UNDER REGULATION 9(3) &amp; (4) OF THE NESCS</t>
    </r>
  </si>
  <si>
    <t>39907 m 2</t>
  </si>
  <si>
    <t>319 m2</t>
  </si>
  <si>
    <t>RC225133</t>
  </si>
  <si>
    <r>
      <t xml:space="preserve">TO CONSTRUCT </t>
    </r>
    <r>
      <rPr>
        <b/>
        <sz val="9"/>
        <color theme="1"/>
        <rFont val="Calibri"/>
        <family val="2"/>
      </rPr>
      <t>5 DWELLINGS</t>
    </r>
    <r>
      <rPr>
        <sz val="9"/>
        <color theme="1"/>
        <rFont val="Calibri"/>
        <family val="2"/>
      </rPr>
      <t xml:space="preserve"> AS PART OF A CRD PROPOSAL WITH ASSOCIATED CAR PARKING AND LANDSCAPING AND UNDERTAKE EARTHWORKS EXCEEDING PERMITTED STANDARDS</t>
    </r>
  </si>
  <si>
    <t>1104 m2</t>
  </si>
  <si>
    <t>220 m2</t>
  </si>
  <si>
    <t>5 Lindon Street, RANGIORA</t>
  </si>
  <si>
    <t>RC225151</t>
  </si>
  <si>
    <r>
      <t xml:space="preserve">TO CONSTRUCT </t>
    </r>
    <r>
      <rPr>
        <b/>
        <sz val="9"/>
        <color theme="1"/>
        <rFont val="Calibri"/>
        <family val="2"/>
      </rPr>
      <t>5 DWELLINGS</t>
    </r>
    <r>
      <rPr>
        <sz val="9"/>
        <color theme="1"/>
        <rFont val="Calibri"/>
        <family val="2"/>
      </rPr>
      <t xml:space="preserve"> WITH ASSOCIATED CAR PARKING AND LANDSCAPING AS PART OF CRD PROPOSAL</t>
    </r>
  </si>
  <si>
    <t>809 m2</t>
  </si>
  <si>
    <t>161 m2</t>
  </si>
  <si>
    <t>50 Ashley Street, RANGIORA</t>
  </si>
  <si>
    <t>RC225173</t>
  </si>
  <si>
    <r>
      <t xml:space="preserve">TO CONSTRUCT </t>
    </r>
    <r>
      <rPr>
        <b/>
        <sz val="9"/>
        <color theme="1"/>
        <rFont val="Calibri"/>
        <family val="2"/>
      </rPr>
      <t>6 DOUBLE STOREY DWELLINGS</t>
    </r>
    <r>
      <rPr>
        <sz val="9"/>
        <color theme="1"/>
        <rFont val="Calibri"/>
        <family val="2"/>
      </rPr>
      <t xml:space="preserve"> AS PART OF A CRD, TO INSTALL A NON-COMPLYING VEHICLE CROSSING WITH ASSOCIATED EARTHWORKS</t>
    </r>
  </si>
  <si>
    <t>1202 m2</t>
  </si>
  <si>
    <t>200 m2</t>
  </si>
  <si>
    <t>276 King Street, RANGIORA</t>
  </si>
  <si>
    <t>RC225212</t>
  </si>
  <si>
    <r>
      <t xml:space="preserve">TO CONSTRUCT </t>
    </r>
    <r>
      <rPr>
        <b/>
        <sz val="9"/>
        <color theme="1"/>
        <rFont val="Calibri"/>
        <family val="2"/>
      </rPr>
      <t>7 DWELLINGS</t>
    </r>
    <r>
      <rPr>
        <sz val="9"/>
        <color theme="1"/>
        <rFont val="Calibri"/>
        <family val="2"/>
      </rPr>
      <t xml:space="preserve"> AS PART OF A CRD PROPOSAL AND UNDERTAKE EARTHWORKS EXCEEDING PERMITTED STANDARDS FOR EARTHWORKS</t>
    </r>
  </si>
  <si>
    <t>2073 m2</t>
  </si>
  <si>
    <t>296 m2</t>
  </si>
  <si>
    <t>63 Church Street, RANGIORA</t>
  </si>
  <si>
    <t>RC225291</t>
  </si>
  <si>
    <r>
      <t xml:space="preserve">CONSTRUCTION OF </t>
    </r>
    <r>
      <rPr>
        <b/>
        <sz val="9"/>
        <color theme="1"/>
        <rFont val="Calibri"/>
        <family val="2"/>
      </rPr>
      <t xml:space="preserve">6 DOUBLE STOREY DWELLINGS </t>
    </r>
    <r>
      <rPr>
        <sz val="9"/>
        <color theme="1"/>
        <rFont val="Calibri"/>
        <family val="2"/>
      </rPr>
      <t>AS PART OF A CRD PROPOSAL WITH ASSOCIATED CAR PARKING AND LANDSCAPING</t>
    </r>
  </si>
  <si>
    <t>1019 m2</t>
  </si>
  <si>
    <t>169 m 2</t>
  </si>
  <si>
    <t>38 Percival Street, RANGIORA</t>
  </si>
  <si>
    <t>RC225298</t>
  </si>
  <si>
    <r>
      <t xml:space="preserve">CRD PROPOSAL TO ERECT </t>
    </r>
    <r>
      <rPr>
        <b/>
        <sz val="9"/>
        <color theme="1"/>
        <rFont val="Calibri"/>
        <family val="2"/>
      </rPr>
      <t>11 DWELLINGS</t>
    </r>
    <r>
      <rPr>
        <sz val="9"/>
        <color theme="1"/>
        <rFont val="Calibri"/>
        <family val="2"/>
      </rPr>
      <t xml:space="preserve"> AS A COMPREHENSIVE RESIDENTIAL DEVELOPMENT</t>
    </r>
  </si>
  <si>
    <t>InProgress</t>
  </si>
  <si>
    <t>1672 m2</t>
  </si>
  <si>
    <t>278 m2</t>
  </si>
  <si>
    <t>1 Salisbury Avenue, RANGIORA</t>
  </si>
  <si>
    <t>RC225413</t>
  </si>
  <si>
    <r>
      <t xml:space="preserve">TO CONSTRUCT </t>
    </r>
    <r>
      <rPr>
        <b/>
        <sz val="9"/>
        <color theme="1"/>
        <rFont val="Calibri"/>
        <family val="2"/>
      </rPr>
      <t>3 DWELLINGS</t>
    </r>
    <r>
      <rPr>
        <sz val="9"/>
        <color theme="1"/>
        <rFont val="Calibri"/>
        <family val="2"/>
      </rPr>
      <t xml:space="preserve"> AN EXCEED THE MAXIMUM PERMITTED VOLUME OF EARTHWORKS AND CONSENT UNDER THE NESCS </t>
    </r>
  </si>
  <si>
    <t>744 m2</t>
  </si>
  <si>
    <t>248 m2</t>
  </si>
  <si>
    <t>8 Tyler Street RANGIORA</t>
  </si>
  <si>
    <t>RC235020</t>
  </si>
  <si>
    <r>
      <t xml:space="preserve">TO CONSTRUCT </t>
    </r>
    <r>
      <rPr>
        <b/>
        <sz val="9"/>
        <color theme="1"/>
        <rFont val="Calibri"/>
        <family val="2"/>
      </rPr>
      <t>5 DOUBLE STOREY DWELLINGS</t>
    </r>
    <r>
      <rPr>
        <sz val="9"/>
        <color theme="1"/>
        <rFont val="Calibri"/>
        <family val="2"/>
      </rPr>
      <t xml:space="preserve"> WITH ASSOCIATED CAR PARKING AND LANDSCAPING AS PART OF A CRD</t>
    </r>
  </si>
  <si>
    <t>155 m 2</t>
  </si>
  <si>
    <t>20 Seddon Street, RANGIORA</t>
  </si>
  <si>
    <t>RC235144</t>
  </si>
  <si>
    <r>
      <t xml:space="preserve">LAND USE CONSENT IS SOUGHT TO CONSTRUCT </t>
    </r>
    <r>
      <rPr>
        <b/>
        <sz val="9"/>
        <color theme="1"/>
        <rFont val="Calibri"/>
        <family val="2"/>
      </rPr>
      <t xml:space="preserve">7 RESIDENTIAL DWELLINGS </t>
    </r>
    <r>
      <rPr>
        <sz val="9"/>
        <color theme="1"/>
        <rFont val="Calibri"/>
        <family val="2"/>
      </rPr>
      <t>AS PART OF A COMPREHENSIVE RESIDENTIAL DEVELOPMENT, RECESSION PLANE BREACH, UNDERTAKE EARTHWORKS EXCEEDING PERMITTED VOLUMES AND CONSENT UNDER THE NESCS FOR SOIL DISTURBANCE AND REMOVAL</t>
    </r>
  </si>
  <si>
    <t>3x one storey &amp; 4x two storey</t>
  </si>
  <si>
    <t>2463 m 2</t>
  </si>
  <si>
    <t>351 m2</t>
  </si>
  <si>
    <t>11- 15 Tyler Street RANGIORA</t>
  </si>
  <si>
    <t>Subtotal 2021-</t>
  </si>
  <si>
    <t xml:space="preserve">Building consent number </t>
  </si>
  <si>
    <t>Date of when consent was formally received</t>
  </si>
  <si>
    <t xml:space="preserve">Address </t>
  </si>
  <si>
    <t>Proposed number of units &amp; attached or detached.</t>
  </si>
  <si>
    <t>How many storeys?</t>
  </si>
  <si>
    <t>Total</t>
  </si>
  <si>
    <t>Date consent lodged</t>
  </si>
  <si>
    <t>Date of when consent was issued or status of consent</t>
  </si>
  <si>
    <t>BC221455</t>
  </si>
  <si>
    <t>87 West Belt, Rangiora</t>
  </si>
  <si>
    <t>2 attached residential units</t>
  </si>
  <si>
    <t>Issued on 3/04/2023</t>
  </si>
  <si>
    <t>BC221479 &amp; BC221480</t>
  </si>
  <si>
    <t>81 King Street, Rangiora</t>
  </si>
  <si>
    <t>2 detached residential units</t>
  </si>
  <si>
    <t>BC221479 was Issued on 21/12/2022. -          BC221480 was issued on 20/12/2023. Both consents received CCC was issued on 1/6/2023</t>
  </si>
  <si>
    <t>BC230158</t>
  </si>
  <si>
    <t>8 Tyler Street, Rangiora</t>
  </si>
  <si>
    <t>3 detached residential units</t>
  </si>
  <si>
    <t>Issued on 14/04/2023</t>
  </si>
  <si>
    <t>BC230349</t>
  </si>
  <si>
    <t>12 Southbrook Road, Rangiora</t>
  </si>
  <si>
    <t>For a second detached dwelling</t>
  </si>
  <si>
    <t>Issued on 04/10/2023</t>
  </si>
  <si>
    <t>BC231108</t>
  </si>
  <si>
    <t>83 Ayers Street, Rangiora</t>
  </si>
  <si>
    <t>1 detached residential unit (additional Primary Dwelling)</t>
  </si>
  <si>
    <t>Issued on 11/12/2023</t>
  </si>
  <si>
    <t>BC231200</t>
  </si>
  <si>
    <t>31 Pentecost Road, Rangiora</t>
  </si>
  <si>
    <t>Issued on 20/12/2023</t>
  </si>
  <si>
    <t>BC231302</t>
  </si>
  <si>
    <t>53 East Belt, Rangiora</t>
  </si>
  <si>
    <t>On hold – for further information</t>
  </si>
  <si>
    <t>BC230736</t>
  </si>
  <si>
    <t>65 Henshaw Street, Woodend</t>
  </si>
  <si>
    <t>Issued on 06/09/2023</t>
  </si>
  <si>
    <t>BC230298</t>
  </si>
  <si>
    <t>17 Higgins Street, Woodend</t>
  </si>
  <si>
    <t>Issued on 19/07/2023</t>
  </si>
  <si>
    <t>BC230296</t>
  </si>
  <si>
    <t>9 Higgins Street, Woodend</t>
  </si>
  <si>
    <t>Issued on 20/07/2023</t>
  </si>
  <si>
    <t>BC230255</t>
  </si>
  <si>
    <t>24 Stackwood Avenue, Woodend</t>
  </si>
  <si>
    <t>Issued on 22/05/2023</t>
  </si>
  <si>
    <t>BC230252</t>
  </si>
  <si>
    <t>46 Crossley Avenue, Woodend</t>
  </si>
  <si>
    <t>Issued on 20/06/2023</t>
  </si>
  <si>
    <t>BC230251</t>
  </si>
  <si>
    <t>25 Higgins Street, Woodend</t>
  </si>
  <si>
    <t>Issued on 30/05/2023</t>
  </si>
  <si>
    <t>BC231334</t>
  </si>
  <si>
    <t>13 Ellmers Street, Woodend</t>
  </si>
  <si>
    <t>BC231070</t>
  </si>
  <si>
    <t>2 Petries Road, Woodend</t>
  </si>
  <si>
    <t>2 attached residential units (existing dwelling already on site)</t>
  </si>
  <si>
    <t>PIM Only application.  No BC application submitted at this date</t>
  </si>
  <si>
    <t>BC231310</t>
  </si>
  <si>
    <t>4 Olearia Lane, Woodend</t>
  </si>
  <si>
    <t>[4] Multi-unit residential infill and intensification is calculated manually from building consent data, and is not part of LUMS. It is provided since 2016 in the form of comprehensive residential developments (CRD) consent applications,</t>
  </si>
  <si>
    <t>and since June 2022 in the form of building consent applications for up to 3 units per site in accordance with the RMA Enabling Housing Act and the Medium Density Residential Standards (MDRS)</t>
  </si>
  <si>
    <t>Methodology</t>
  </si>
  <si>
    <t>LUMS tracks greenfields residential development across the Waimakariri District</t>
  </si>
  <si>
    <r>
      <t>1.</t>
    </r>
    <r>
      <rPr>
        <sz val="7"/>
        <color theme="1"/>
        <rFont val="Times New Roman"/>
        <family val="1"/>
      </rPr>
      <t xml:space="preserve">       </t>
    </r>
    <r>
      <rPr>
        <sz val="11"/>
        <color theme="1"/>
        <rFont val="Calibri"/>
        <family val="2"/>
        <scheme val="minor"/>
      </rPr>
      <t>As new developments are approved with subdivision consent they are entered into LUMS for monitoring as the development commences. The following basic parameters are recorded at the beginning of a development:</t>
    </r>
  </si>
  <si>
    <r>
      <t>·</t>
    </r>
    <r>
      <rPr>
        <sz val="7"/>
        <color theme="1"/>
        <rFont val="Times New Roman"/>
        <family val="1"/>
      </rPr>
      <t xml:space="preserve">         </t>
    </r>
    <r>
      <rPr>
        <sz val="11"/>
        <color theme="1"/>
        <rFont val="Calibri"/>
        <family val="2"/>
        <scheme val="minor"/>
      </rPr>
      <t>Gross area of development</t>
    </r>
  </si>
  <si>
    <r>
      <t>·</t>
    </r>
    <r>
      <rPr>
        <sz val="7"/>
        <color theme="1"/>
        <rFont val="Times New Roman"/>
        <family val="1"/>
      </rPr>
      <t xml:space="preserve">         </t>
    </r>
    <r>
      <rPr>
        <sz val="11"/>
        <color theme="1"/>
        <rFont val="Calibri"/>
        <family val="2"/>
        <scheme val="minor"/>
      </rPr>
      <t>Area required for roading, reserves, stormwater (or 20% as a baseline)</t>
    </r>
  </si>
  <si>
    <r>
      <t>·</t>
    </r>
    <r>
      <rPr>
        <sz val="7"/>
        <color theme="1"/>
        <rFont val="Times New Roman"/>
        <family val="1"/>
      </rPr>
      <t xml:space="preserve">         </t>
    </r>
    <r>
      <rPr>
        <sz val="11"/>
        <color theme="1"/>
        <rFont val="Calibri"/>
        <family val="2"/>
        <scheme val="minor"/>
      </rPr>
      <t>Net area of development (gross area minus the areas set aside as above)</t>
    </r>
  </si>
  <si>
    <r>
      <t>·</t>
    </r>
    <r>
      <rPr>
        <sz val="7"/>
        <color theme="1"/>
        <rFont val="Times New Roman"/>
        <family val="1"/>
      </rPr>
      <t xml:space="preserve">         </t>
    </r>
    <r>
      <rPr>
        <sz val="11"/>
        <color theme="1"/>
        <rFont val="Calibri"/>
        <family val="2"/>
        <scheme val="minor"/>
      </rPr>
      <t>Number of potential dwellings based on 12 houses/ha (from April 2024, at 15 houses/ha as well)</t>
    </r>
  </si>
  <si>
    <r>
      <t>·</t>
    </r>
    <r>
      <rPr>
        <sz val="7"/>
        <color theme="1"/>
        <rFont val="Times New Roman"/>
        <family val="1"/>
      </rPr>
      <t xml:space="preserve">         </t>
    </r>
    <r>
      <rPr>
        <sz val="11"/>
        <color theme="1"/>
        <rFont val="Calibri"/>
        <family val="2"/>
        <scheme val="minor"/>
      </rPr>
      <t>Number of built dwellings</t>
    </r>
  </si>
  <si>
    <r>
      <t>·</t>
    </r>
    <r>
      <rPr>
        <sz val="7"/>
        <color theme="1"/>
        <rFont val="Times New Roman"/>
        <family val="1"/>
      </rPr>
      <t xml:space="preserve">         </t>
    </r>
    <r>
      <rPr>
        <sz val="11"/>
        <color theme="1"/>
        <rFont val="Calibri"/>
        <family val="2"/>
        <scheme val="minor"/>
      </rPr>
      <t>Net capacity vacant (potential dwellings minus built dwellings)</t>
    </r>
  </si>
  <si>
    <r>
      <t>·</t>
    </r>
    <r>
      <rPr>
        <sz val="7"/>
        <color theme="1"/>
        <rFont val="Times New Roman"/>
        <family val="1"/>
      </rPr>
      <t xml:space="preserve">         </t>
    </r>
    <r>
      <rPr>
        <sz val="11"/>
        <color theme="1"/>
        <rFont val="Calibri"/>
        <family val="2"/>
        <scheme val="minor"/>
      </rPr>
      <t>Achieved density to date</t>
    </r>
  </si>
  <si>
    <t xml:space="preserve">As the development progresses, the number of built dwellings rises to match or exceed the number of potential dwellings. </t>
  </si>
  <si>
    <t xml:space="preserve">The survey retains the 12 houses per hectare assessment measure for backwards compatibility with older developments, and also as a trigger to assess when developments may be approaching completion. </t>
  </si>
  <si>
    <t xml:space="preserve">When the survey began, 12 houses per hectare was used as the assessment measure, however, as densities have risen over time, 15 houses per hectare has been added as an assessment measure (in April 2024). </t>
  </si>
  <si>
    <t>The LUMS monitoring is designed based on a single dwelling per building. Multi unit dwellings are captured manually from resource and building consent data.</t>
  </si>
  <si>
    <t xml:space="preserve">Final densities are known after developments are completed, however, this may also exclude 'superlots' and balance parcels that might be held over for additional stages of the same development. </t>
  </si>
  <si>
    <t xml:space="preserve">Because of this, and its methdology of capturing a single storey unit per site, LUMS likely underestimates final densities achieved. </t>
  </si>
  <si>
    <t>The most recent version of the dataset is used to track densities and area totals. This is currently the April 2024 dataset</t>
  </si>
  <si>
    <t xml:space="preserve">This data has been included in this spreadsheet for completion, under the MDRS and CRD tabs, but this data is not included in the LUMS greenfield totals. </t>
  </si>
  <si>
    <t xml:space="preserve">This is packaged and presented for the context of the Proposed District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</si>
</sst>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b/>
      <sz val="11"/>
      <color theme="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sz val="11"/>
      <name val="Calibri"/>
      <family val="2"/>
      <scheme val="minor"/>
    </font>
    <font>
      <b/>
      <sz val="11"/>
      <name val="Calibri"/>
      <family val="2"/>
      <scheme val="minor"/>
    </font>
    <font>
      <b/>
      <i/>
      <sz val="11"/>
      <name val="Calibri"/>
      <family val="2"/>
      <scheme val="minor"/>
    </font>
    <font>
      <sz val="11"/>
      <color rgb="FFFF0000"/>
      <name val="Calibri"/>
      <family val="2"/>
      <scheme val="minor"/>
    </font>
    <font>
      <b/>
      <sz val="11"/>
      <color rgb="FFFF0000"/>
      <name val="Calibri"/>
      <family val="2"/>
      <scheme val="minor"/>
    </font>
    <font>
      <sz val="9"/>
      <color indexed="81"/>
      <name val="Tahoma"/>
      <family val="2"/>
    </font>
    <font>
      <b/>
      <sz val="9"/>
      <color indexed="81"/>
      <name val="Tahoma"/>
      <family val="2"/>
    </font>
    <font>
      <b/>
      <sz val="9"/>
      <color rgb="FF000000"/>
      <name val="Tahoma"/>
      <family val="2"/>
    </font>
    <font>
      <sz val="9"/>
      <color rgb="FF000000"/>
      <name val="Tahoma"/>
      <family val="2"/>
    </font>
    <font>
      <b/>
      <sz val="14"/>
      <color theme="1"/>
      <name val="Calibri"/>
      <family val="2"/>
      <scheme val="minor"/>
    </font>
    <font>
      <b/>
      <sz val="11"/>
      <color rgb="FF000000"/>
      <name val="Calibri"/>
      <family val="2"/>
    </font>
    <font>
      <sz val="9"/>
      <color theme="1"/>
      <name val="Calibri"/>
      <family val="2"/>
    </font>
    <font>
      <b/>
      <sz val="9"/>
      <color theme="1"/>
      <name val="Calibri"/>
      <family val="2"/>
    </font>
    <font>
      <b/>
      <sz val="12"/>
      <color rgb="FF000000"/>
      <name val="Calibri"/>
      <family val="2"/>
      <scheme val="minor"/>
    </font>
    <font>
      <sz val="11"/>
      <color rgb="FF000000"/>
      <name val="Calibri"/>
      <family val="2"/>
      <scheme val="minor"/>
    </font>
    <font>
      <sz val="7"/>
      <color theme="1"/>
      <name val="Times New Roman"/>
      <family val="1"/>
    </font>
    <font>
      <sz val="11"/>
      <color theme="1"/>
      <name val="Symbol"/>
      <family val="1"/>
      <charset val="2"/>
    </font>
  </fonts>
  <fills count="8">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rgb="FFD9D9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2">
    <xf numFmtId="0" fontId="0" fillId="0" borderId="0"/>
    <xf numFmtId="9" fontId="5" fillId="0" borderId="0" applyFont="0" applyFill="0" applyBorder="0" applyAlignment="0" applyProtection="0"/>
  </cellStyleXfs>
  <cellXfs count="112">
    <xf numFmtId="0" fontId="0" fillId="0" borderId="0" xfId="0"/>
    <xf numFmtId="0" fontId="0" fillId="0" borderId="0" xfId="0" applyAlignment="1">
      <alignment horizontal="left" vertical="top" wrapText="1"/>
    </xf>
    <xf numFmtId="0" fontId="0" fillId="4" borderId="1" xfId="0" applyFill="1" applyBorder="1" applyAlignment="1">
      <alignment horizontal="left" vertical="top" wrapText="1"/>
    </xf>
    <xf numFmtId="0" fontId="1" fillId="0" borderId="0" xfId="0" applyFont="1"/>
    <xf numFmtId="0" fontId="1" fillId="5" borderId="1" xfId="0" applyFont="1" applyFill="1" applyBorder="1"/>
    <xf numFmtId="0" fontId="2" fillId="4" borderId="1" xfId="0" applyFont="1" applyFill="1" applyBorder="1" applyAlignment="1">
      <alignment horizontal="left" vertical="top" wrapText="1"/>
    </xf>
    <xf numFmtId="0" fontId="3" fillId="0" borderId="0" xfId="0" applyFont="1"/>
    <xf numFmtId="1" fontId="3" fillId="0" borderId="0" xfId="0" applyNumberFormat="1" applyFont="1"/>
    <xf numFmtId="0" fontId="4" fillId="0" borderId="0" xfId="0" applyFont="1"/>
    <xf numFmtId="0" fontId="3" fillId="0" borderId="0" xfId="0" applyFont="1" applyAlignment="1">
      <alignment wrapText="1"/>
    </xf>
    <xf numFmtId="0" fontId="4" fillId="0" borderId="0" xfId="0" applyFont="1" applyAlignment="1">
      <alignment horizontal="left" vertical="top" wrapText="1"/>
    </xf>
    <xf numFmtId="1" fontId="7" fillId="5" borderId="1" xfId="0" applyNumberFormat="1" applyFont="1" applyFill="1" applyBorder="1"/>
    <xf numFmtId="0" fontId="0" fillId="3" borderId="1" xfId="0" applyFill="1" applyBorder="1"/>
    <xf numFmtId="0" fontId="6" fillId="3" borderId="1" xfId="0" applyFont="1" applyFill="1" applyBorder="1"/>
    <xf numFmtId="1" fontId="6" fillId="0" borderId="1" xfId="0" applyNumberFormat="1" applyFont="1" applyBorder="1"/>
    <xf numFmtId="164" fontId="8" fillId="0" borderId="1" xfId="0" applyNumberFormat="1" applyFont="1" applyBorder="1"/>
    <xf numFmtId="9" fontId="6" fillId="0" borderId="1" xfId="1" applyFont="1" applyBorder="1"/>
    <xf numFmtId="164" fontId="6" fillId="0" borderId="1" xfId="1" applyNumberFormat="1" applyFont="1" applyBorder="1"/>
    <xf numFmtId="1" fontId="7" fillId="0" borderId="1" xfId="0" applyNumberFormat="1" applyFont="1" applyBorder="1"/>
    <xf numFmtId="0" fontId="8" fillId="4" borderId="1" xfId="0" applyFont="1" applyFill="1" applyBorder="1"/>
    <xf numFmtId="0" fontId="6" fillId="4" borderId="1" xfId="0" applyFont="1" applyFill="1" applyBorder="1"/>
    <xf numFmtId="1" fontId="6" fillId="4" borderId="1" xfId="0" applyNumberFormat="1" applyFont="1" applyFill="1" applyBorder="1"/>
    <xf numFmtId="164" fontId="8" fillId="4" borderId="1" xfId="0" applyNumberFormat="1" applyFont="1" applyFill="1" applyBorder="1"/>
    <xf numFmtId="9" fontId="6" fillId="4" borderId="1" xfId="1" applyFont="1" applyFill="1" applyBorder="1"/>
    <xf numFmtId="164" fontId="6" fillId="4" borderId="1" xfId="1" applyNumberFormat="1" applyFont="1" applyFill="1" applyBorder="1"/>
    <xf numFmtId="1" fontId="8" fillId="0" borderId="1" xfId="0" applyNumberFormat="1" applyFont="1" applyBorder="1"/>
    <xf numFmtId="1" fontId="10" fillId="4" borderId="1" xfId="0" applyNumberFormat="1" applyFont="1" applyFill="1" applyBorder="1"/>
    <xf numFmtId="164" fontId="7" fillId="5" borderId="1" xfId="0" applyNumberFormat="1" applyFont="1" applyFill="1" applyBorder="1"/>
    <xf numFmtId="0" fontId="1" fillId="2" borderId="2" xfId="0" applyFont="1" applyFill="1" applyBorder="1" applyAlignment="1">
      <alignment horizontal="left" vertical="top" wrapText="1"/>
    </xf>
    <xf numFmtId="9" fontId="6" fillId="0" borderId="1" xfId="1" applyFont="1" applyFill="1" applyBorder="1"/>
    <xf numFmtId="0" fontId="6" fillId="0" borderId="1" xfId="0" applyFont="1" applyBorder="1"/>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 fontId="0" fillId="0" borderId="1" xfId="0" applyNumberFormat="1" applyBorder="1"/>
    <xf numFmtId="1" fontId="2" fillId="0" borderId="1" xfId="0" applyNumberFormat="1" applyFont="1" applyBorder="1"/>
    <xf numFmtId="164" fontId="2" fillId="0" borderId="1" xfId="0" applyNumberFormat="1" applyFont="1" applyBorder="1"/>
    <xf numFmtId="9" fontId="0" fillId="0" borderId="1" xfId="1" applyFont="1" applyBorder="1"/>
    <xf numFmtId="164" fontId="0" fillId="0" borderId="1" xfId="1" applyNumberFormat="1" applyFont="1" applyBorder="1"/>
    <xf numFmtId="0" fontId="0" fillId="0" borderId="1" xfId="0" applyBorder="1"/>
    <xf numFmtId="1" fontId="1" fillId="5" borderId="1" xfId="0" applyNumberFormat="1" applyFont="1" applyFill="1" applyBorder="1"/>
    <xf numFmtId="164" fontId="1" fillId="5" borderId="1" xfId="0" applyNumberFormat="1" applyFont="1" applyFill="1" applyBorder="1"/>
    <xf numFmtId="0" fontId="7" fillId="2" borderId="2" xfId="0" applyFont="1" applyFill="1" applyBorder="1" applyAlignment="1">
      <alignment horizontal="left" vertical="top" wrapText="1"/>
    </xf>
    <xf numFmtId="0" fontId="7" fillId="2" borderId="3" xfId="0" applyFont="1" applyFill="1" applyBorder="1" applyAlignment="1">
      <alignment horizontal="left" vertical="top" wrapText="1"/>
    </xf>
    <xf numFmtId="1" fontId="7" fillId="4" borderId="1" xfId="0" applyNumberFormat="1" applyFont="1" applyFill="1" applyBorder="1"/>
    <xf numFmtId="1" fontId="9" fillId="4" borderId="1" xfId="0" applyNumberFormat="1" applyFont="1" applyFill="1" applyBorder="1"/>
    <xf numFmtId="0" fontId="7" fillId="0" borderId="0" xfId="0" applyFont="1"/>
    <xf numFmtId="3" fontId="6" fillId="0" borderId="1" xfId="0" applyNumberFormat="1" applyFont="1" applyBorder="1"/>
    <xf numFmtId="3" fontId="6" fillId="4" borderId="1" xfId="0" applyNumberFormat="1" applyFont="1" applyFill="1" applyBorder="1"/>
    <xf numFmtId="3" fontId="7" fillId="5" borderId="1" xfId="0" applyNumberFormat="1" applyFont="1" applyFill="1" applyBorder="1"/>
    <xf numFmtId="164" fontId="6" fillId="0" borderId="1" xfId="0" applyNumberFormat="1" applyFont="1" applyBorder="1"/>
    <xf numFmtId="164" fontId="6" fillId="4" borderId="1" xfId="0" applyNumberFormat="1" applyFont="1" applyFill="1" applyBorder="1"/>
    <xf numFmtId="1" fontId="0" fillId="0" borderId="0" xfId="0" applyNumberFormat="1"/>
    <xf numFmtId="2" fontId="0" fillId="4" borderId="1" xfId="0" applyNumberFormat="1" applyFill="1" applyBorder="1" applyAlignment="1">
      <alignment horizontal="left" vertical="top" wrapText="1"/>
    </xf>
    <xf numFmtId="2" fontId="6" fillId="0" borderId="1" xfId="0" applyNumberFormat="1" applyFont="1" applyBorder="1"/>
    <xf numFmtId="2" fontId="7" fillId="4" borderId="1" xfId="0" applyNumberFormat="1" applyFont="1" applyFill="1" applyBorder="1"/>
    <xf numFmtId="2" fontId="0" fillId="0" borderId="0" xfId="0" applyNumberFormat="1"/>
    <xf numFmtId="0" fontId="1" fillId="6" borderId="3" xfId="0" applyFont="1" applyFill="1" applyBorder="1" applyAlignment="1">
      <alignment horizontal="left" vertical="top" wrapText="1"/>
    </xf>
    <xf numFmtId="2" fontId="7" fillId="2" borderId="3" xfId="0" applyNumberFormat="1" applyFont="1" applyFill="1" applyBorder="1" applyAlignment="1">
      <alignment horizontal="left" vertical="top" wrapText="1"/>
    </xf>
    <xf numFmtId="0" fontId="1" fillId="0" borderId="0" xfId="0" applyFont="1" applyAlignment="1">
      <alignment horizontal="left" vertical="top" wrapText="1"/>
    </xf>
    <xf numFmtId="2" fontId="7" fillId="2" borderId="0" xfId="0" applyNumberFormat="1" applyFont="1" applyFill="1" applyAlignment="1">
      <alignment horizontal="left" vertical="top" wrapText="1"/>
    </xf>
    <xf numFmtId="2" fontId="1" fillId="0" borderId="0" xfId="0" applyNumberFormat="1" applyFont="1"/>
    <xf numFmtId="1" fontId="6" fillId="0" borderId="5" xfId="0" applyNumberFormat="1" applyFont="1" applyBorder="1"/>
    <xf numFmtId="9" fontId="7" fillId="2" borderId="0" xfId="0" applyNumberFormat="1" applyFont="1" applyFill="1" applyAlignment="1">
      <alignment horizontal="left" vertical="top" wrapText="1"/>
    </xf>
    <xf numFmtId="9" fontId="0" fillId="4" borderId="1" xfId="0" applyNumberFormat="1" applyFill="1" applyBorder="1" applyAlignment="1">
      <alignment horizontal="left" vertical="top" wrapText="1"/>
    </xf>
    <xf numFmtId="9" fontId="6" fillId="0" borderId="0" xfId="0" applyNumberFormat="1" applyFont="1"/>
    <xf numFmtId="9" fontId="7" fillId="5" borderId="0" xfId="0" applyNumberFormat="1" applyFont="1" applyFill="1"/>
    <xf numFmtId="9" fontId="1" fillId="0" borderId="0" xfId="0" applyNumberFormat="1" applyFont="1"/>
    <xf numFmtId="9" fontId="0" fillId="0" borderId="0" xfId="0" applyNumberFormat="1"/>
    <xf numFmtId="0" fontId="15" fillId="0" borderId="0" xfId="0" applyFont="1"/>
    <xf numFmtId="0" fontId="16" fillId="7" borderId="6" xfId="0" applyFont="1" applyFill="1" applyBorder="1" applyAlignment="1">
      <alignment vertical="center" wrapText="1"/>
    </xf>
    <xf numFmtId="0" fontId="16" fillId="7" borderId="7" xfId="0" applyFont="1" applyFill="1" applyBorder="1" applyAlignment="1">
      <alignment vertical="center" wrapText="1"/>
    </xf>
    <xf numFmtId="0" fontId="16" fillId="7" borderId="8" xfId="0" applyFont="1" applyFill="1" applyBorder="1" applyAlignment="1">
      <alignment vertical="center" wrapText="1"/>
    </xf>
    <xf numFmtId="164" fontId="16" fillId="7" borderId="6" xfId="0" applyNumberFormat="1" applyFont="1" applyFill="1" applyBorder="1" applyAlignment="1">
      <alignment vertical="center" wrapText="1"/>
    </xf>
    <xf numFmtId="0" fontId="17" fillId="0" borderId="7" xfId="0" applyFont="1" applyBorder="1" applyAlignment="1">
      <alignment vertical="center" wrapText="1"/>
    </xf>
    <xf numFmtId="15" fontId="17" fillId="0" borderId="9" xfId="0" applyNumberFormat="1" applyFont="1" applyBorder="1" applyAlignment="1">
      <alignment vertical="center" wrapText="1"/>
    </xf>
    <xf numFmtId="0" fontId="17" fillId="0" borderId="9" xfId="0" applyFont="1" applyBorder="1" applyAlignment="1">
      <alignment vertical="center" wrapText="1"/>
    </xf>
    <xf numFmtId="0" fontId="17" fillId="0" borderId="9" xfId="0" applyFont="1" applyBorder="1" applyAlignment="1">
      <alignment horizontal="center" vertical="center" wrapText="1"/>
    </xf>
    <xf numFmtId="164" fontId="17" fillId="0" borderId="9" xfId="0" applyNumberFormat="1" applyFont="1" applyBorder="1" applyAlignment="1">
      <alignment vertical="center" wrapText="1"/>
    </xf>
    <xf numFmtId="0" fontId="18" fillId="6" borderId="7" xfId="0" applyFont="1" applyFill="1" applyBorder="1" applyAlignment="1">
      <alignment vertical="center" wrapText="1"/>
    </xf>
    <xf numFmtId="15" fontId="18" fillId="6" borderId="9" xfId="0" applyNumberFormat="1" applyFont="1" applyFill="1" applyBorder="1" applyAlignment="1">
      <alignment vertical="center" wrapText="1"/>
    </xf>
    <xf numFmtId="0" fontId="18" fillId="6" borderId="9" xfId="0" applyFont="1" applyFill="1" applyBorder="1" applyAlignment="1">
      <alignment vertical="center" wrapText="1"/>
    </xf>
    <xf numFmtId="0" fontId="18" fillId="6" borderId="9" xfId="0" applyFont="1" applyFill="1" applyBorder="1" applyAlignment="1">
      <alignment horizontal="center" vertical="center" wrapText="1"/>
    </xf>
    <xf numFmtId="0" fontId="18" fillId="6" borderId="0" xfId="0" applyFont="1" applyFill="1" applyAlignment="1">
      <alignment vertical="center" wrapText="1"/>
    </xf>
    <xf numFmtId="164" fontId="18" fillId="6" borderId="9" xfId="0" applyNumberFormat="1" applyFont="1" applyFill="1" applyBorder="1" applyAlignment="1">
      <alignment vertical="center" wrapText="1"/>
    </xf>
    <xf numFmtId="0" fontId="17" fillId="6" borderId="7" xfId="0" applyFont="1" applyFill="1" applyBorder="1" applyAlignment="1">
      <alignment vertical="center" wrapText="1"/>
    </xf>
    <xf numFmtId="15" fontId="17" fillId="6" borderId="9" xfId="0" applyNumberFormat="1" applyFont="1" applyFill="1" applyBorder="1" applyAlignment="1">
      <alignment vertical="center" wrapText="1"/>
    </xf>
    <xf numFmtId="0" fontId="17" fillId="6" borderId="9" xfId="0" applyFont="1" applyFill="1" applyBorder="1" applyAlignment="1">
      <alignment vertical="center" wrapText="1"/>
    </xf>
    <xf numFmtId="0" fontId="17" fillId="6" borderId="9" xfId="0" applyFont="1" applyFill="1" applyBorder="1" applyAlignment="1">
      <alignment horizontal="center" vertical="center" wrapText="1"/>
    </xf>
    <xf numFmtId="164" fontId="17" fillId="6" borderId="9" xfId="0" applyNumberFormat="1" applyFont="1" applyFill="1" applyBorder="1" applyAlignment="1">
      <alignment vertical="center" wrapText="1"/>
    </xf>
    <xf numFmtId="0" fontId="17" fillId="0" borderId="6" xfId="0" applyFont="1" applyBorder="1" applyAlignment="1">
      <alignment vertical="center" wrapText="1"/>
    </xf>
    <xf numFmtId="15" fontId="17" fillId="0" borderId="6" xfId="0" applyNumberFormat="1" applyFont="1" applyBorder="1" applyAlignment="1">
      <alignment vertical="center" wrapText="1"/>
    </xf>
    <xf numFmtId="0" fontId="17" fillId="0" borderId="6" xfId="0" applyFont="1" applyBorder="1" applyAlignment="1">
      <alignment horizontal="center" vertical="center" wrapText="1"/>
    </xf>
    <xf numFmtId="164" fontId="17" fillId="0" borderId="6" xfId="0" applyNumberFormat="1" applyFont="1" applyBorder="1" applyAlignment="1">
      <alignment vertical="center" wrapText="1"/>
    </xf>
    <xf numFmtId="164" fontId="0" fillId="0" borderId="0" xfId="0" applyNumberFormat="1"/>
    <xf numFmtId="0" fontId="19" fillId="7" borderId="10" xfId="0" applyFont="1" applyFill="1" applyBorder="1" applyAlignment="1">
      <alignment vertical="center" wrapText="1"/>
    </xf>
    <xf numFmtId="0" fontId="19" fillId="7" borderId="4" xfId="0" applyFont="1" applyFill="1" applyBorder="1" applyAlignment="1">
      <alignment vertical="center" wrapText="1"/>
    </xf>
    <xf numFmtId="0" fontId="20" fillId="0" borderId="11" xfId="0" applyFont="1" applyBorder="1" applyAlignment="1">
      <alignment vertical="center" wrapText="1"/>
    </xf>
    <xf numFmtId="14" fontId="20" fillId="0" borderId="12" xfId="0" applyNumberFormat="1" applyFont="1" applyBorder="1" applyAlignment="1">
      <alignment vertical="center" wrapText="1"/>
    </xf>
    <xf numFmtId="0" fontId="20" fillId="0" borderId="12" xfId="0" applyFont="1" applyBorder="1" applyAlignment="1">
      <alignment vertical="center" wrapText="1"/>
    </xf>
    <xf numFmtId="0" fontId="0" fillId="0" borderId="12" xfId="0" applyBorder="1" applyAlignment="1">
      <alignment vertical="center" wrapText="1"/>
    </xf>
    <xf numFmtId="0" fontId="20" fillId="0" borderId="13" xfId="0" applyFont="1" applyBorder="1" applyAlignment="1">
      <alignment vertical="center" wrapText="1"/>
    </xf>
    <xf numFmtId="14" fontId="20" fillId="0" borderId="13" xfId="0" applyNumberFormat="1" applyFont="1"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3" xfId="0" applyBorder="1" applyAlignment="1">
      <alignment horizontal="left" vertical="center" wrapText="1" indent="5"/>
    </xf>
    <xf numFmtId="0" fontId="0" fillId="0" borderId="15" xfId="0" applyBorder="1" applyAlignment="1">
      <alignment horizontal="left" vertical="center" wrapText="1" indent="5"/>
    </xf>
    <xf numFmtId="14" fontId="0" fillId="0" borderId="12" xfId="0" applyNumberFormat="1" applyBorder="1" applyAlignment="1">
      <alignment vertical="center" wrapText="1"/>
    </xf>
    <xf numFmtId="14" fontId="0" fillId="0" borderId="13" xfId="0" applyNumberFormat="1" applyBorder="1" applyAlignment="1">
      <alignment vertical="center" wrapText="1"/>
    </xf>
    <xf numFmtId="0" fontId="0" fillId="0" borderId="11" xfId="0" applyBorder="1" applyAlignment="1">
      <alignment vertical="center" wrapText="1"/>
    </xf>
    <xf numFmtId="0" fontId="0" fillId="0" borderId="0" xfId="0" applyAlignment="1">
      <alignment horizontal="left" vertical="center" indent="5"/>
    </xf>
    <xf numFmtId="0" fontId="22" fillId="0" borderId="0" xfId="0" applyFont="1" applyAlignment="1">
      <alignment horizontal="left" vertical="center" indent="10"/>
    </xf>
    <xf numFmtId="1" fontId="0" fillId="4" borderId="1" xfId="0" applyNumberFormat="1" applyFill="1" applyBorder="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1 - JUL-SEP 2022 RES'!$A$18:$A$21</c:f>
              <c:strCache>
                <c:ptCount val="4"/>
                <c:pt idx="0">
                  <c:v>East Woodend (LURP)</c:v>
                </c:pt>
                <c:pt idx="1">
                  <c:v>Freeman</c:v>
                </c:pt>
                <c:pt idx="2">
                  <c:v>Pegasus</c:v>
                </c:pt>
                <c:pt idx="3">
                  <c:v>Ravenswood (LURP)</c:v>
                </c:pt>
              </c:strCache>
            </c:strRef>
          </c:cat>
          <c:val>
            <c:numRef>
              <c:f>'QUARTER 1 - JUL-SEP 2022 RES'!$J$18:$J$21</c:f>
              <c:numCache>
                <c:formatCode>0</c:formatCode>
                <c:ptCount val="4"/>
                <c:pt idx="0">
                  <c:v>118.22374919951994</c:v>
                </c:pt>
                <c:pt idx="1">
                  <c:v>165.45482810063999</c:v>
                </c:pt>
                <c:pt idx="3">
                  <c:v>850.91455604143994</c:v>
                </c:pt>
              </c:numCache>
            </c:numRef>
          </c:val>
          <c:extLst>
            <c:ext xmlns:c16="http://schemas.microsoft.com/office/drawing/2014/chart" uri="{C3380CC4-5D6E-409C-BE32-E72D297353CC}">
              <c16:uniqueId val="{00000000-B988-4D9E-94AB-17C6C30BEA2C}"/>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1 - JUL-SEPT 2021 RES'!$A$18:$A$21</c:f>
              <c:strCache>
                <c:ptCount val="4"/>
                <c:pt idx="0">
                  <c:v>East Woodend (LURP)</c:v>
                </c:pt>
                <c:pt idx="1">
                  <c:v>Freeman</c:v>
                </c:pt>
                <c:pt idx="2">
                  <c:v>Pegasus</c:v>
                </c:pt>
                <c:pt idx="3">
                  <c:v>Ravenswood (LURP)</c:v>
                </c:pt>
              </c:strCache>
            </c:strRef>
          </c:cat>
          <c:val>
            <c:numRef>
              <c:f>'QUARTER 1 - JUL-SEPT 2021 RES'!$J$18:$J$21</c:f>
              <c:numCache>
                <c:formatCode>0</c:formatCode>
                <c:ptCount val="4"/>
                <c:pt idx="0">
                  <c:v>118.22374919951994</c:v>
                </c:pt>
                <c:pt idx="1">
                  <c:v>165.45482810063999</c:v>
                </c:pt>
                <c:pt idx="3">
                  <c:v>850.91455604143994</c:v>
                </c:pt>
              </c:numCache>
            </c:numRef>
          </c:val>
          <c:extLst>
            <c:ext xmlns:c16="http://schemas.microsoft.com/office/drawing/2014/chart" uri="{C3380CC4-5D6E-409C-BE32-E72D297353CC}">
              <c16:uniqueId val="{00000000-5969-4D71-8EB8-BC6919B04A4F}"/>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3 - JAN-MAR 2021 RES'!$A$18:$A$21</c:f>
              <c:strCache>
                <c:ptCount val="4"/>
                <c:pt idx="0">
                  <c:v>East Woodend (LURP)</c:v>
                </c:pt>
                <c:pt idx="1">
                  <c:v>Freeman</c:v>
                </c:pt>
                <c:pt idx="2">
                  <c:v>Pegasus</c:v>
                </c:pt>
                <c:pt idx="3">
                  <c:v>Ravenswood (LURP)</c:v>
                </c:pt>
              </c:strCache>
            </c:strRef>
          </c:cat>
          <c:val>
            <c:numRef>
              <c:f>'QUARTER 3 - JAN-MAR 2021 RES'!$J$18:$J$21</c:f>
              <c:numCache>
                <c:formatCode>0</c:formatCode>
                <c:ptCount val="4"/>
                <c:pt idx="0">
                  <c:v>119.22374919951994</c:v>
                </c:pt>
                <c:pt idx="1">
                  <c:v>188.45482810063999</c:v>
                </c:pt>
                <c:pt idx="2">
                  <c:v>94.687139376752611</c:v>
                </c:pt>
                <c:pt idx="3">
                  <c:v>912.91455604143994</c:v>
                </c:pt>
              </c:numCache>
            </c:numRef>
          </c:val>
          <c:extLst>
            <c:ext xmlns:c16="http://schemas.microsoft.com/office/drawing/2014/chart" uri="{C3380CC4-5D6E-409C-BE32-E72D297353CC}">
              <c16:uniqueId val="{00000000-93B8-4E91-88B7-FE06ABFB9027}"/>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2 - OCT-DEC 2020 RES'!$A$18:$A$21</c:f>
              <c:strCache>
                <c:ptCount val="4"/>
                <c:pt idx="0">
                  <c:v>East Woodend (LURP)</c:v>
                </c:pt>
                <c:pt idx="1">
                  <c:v>Freeman</c:v>
                </c:pt>
                <c:pt idx="2">
                  <c:v>Pegasus</c:v>
                </c:pt>
                <c:pt idx="3">
                  <c:v>Ravenswood (LURP)</c:v>
                </c:pt>
              </c:strCache>
            </c:strRef>
          </c:cat>
          <c:val>
            <c:numRef>
              <c:f>'QUARTER 2 - OCT-DEC 2020 RES'!$J$18:$J$21</c:f>
              <c:numCache>
                <c:formatCode>0</c:formatCode>
                <c:ptCount val="4"/>
                <c:pt idx="0">
                  <c:v>121.22374919951994</c:v>
                </c:pt>
                <c:pt idx="1">
                  <c:v>186.45482810063999</c:v>
                </c:pt>
                <c:pt idx="2">
                  <c:v>140.68713937675261</c:v>
                </c:pt>
                <c:pt idx="3">
                  <c:v>1018.9145560414399</c:v>
                </c:pt>
              </c:numCache>
            </c:numRef>
          </c:val>
          <c:extLst>
            <c:ext xmlns:c16="http://schemas.microsoft.com/office/drawing/2014/chart" uri="{C3380CC4-5D6E-409C-BE32-E72D297353CC}">
              <c16:uniqueId val="{00000000-DECD-42F3-BAAA-9D69CBC515C7}"/>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1 - JUL-SEPT 2020 RES'!$A$18:$A$21</c:f>
              <c:strCache>
                <c:ptCount val="4"/>
                <c:pt idx="0">
                  <c:v>East Woodend (LURP)</c:v>
                </c:pt>
                <c:pt idx="1">
                  <c:v>Freeman</c:v>
                </c:pt>
                <c:pt idx="2">
                  <c:v>Pegasus</c:v>
                </c:pt>
                <c:pt idx="3">
                  <c:v>Ravenswood (LURP)</c:v>
                </c:pt>
              </c:strCache>
            </c:strRef>
          </c:cat>
          <c:val>
            <c:numRef>
              <c:f>'QUARTER 1 - JUL-SEPT 2020 RES'!$J$18:$J$21</c:f>
              <c:numCache>
                <c:formatCode>0</c:formatCode>
                <c:ptCount val="4"/>
                <c:pt idx="0">
                  <c:v>130.22374919951994</c:v>
                </c:pt>
                <c:pt idx="1">
                  <c:v>185.45482810063999</c:v>
                </c:pt>
                <c:pt idx="2">
                  <c:v>200.68713937675261</c:v>
                </c:pt>
                <c:pt idx="3">
                  <c:v>1021.9145560414399</c:v>
                </c:pt>
              </c:numCache>
            </c:numRef>
          </c:val>
          <c:extLst>
            <c:ext xmlns:c16="http://schemas.microsoft.com/office/drawing/2014/chart" uri="{C3380CC4-5D6E-409C-BE32-E72D297353CC}">
              <c16:uniqueId val="{00000000-2ABB-46F3-9157-B72EEFF88AC2}"/>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2 - OCT-DEC 2019 RES'!$A$18:$A$21</c:f>
              <c:strCache>
                <c:ptCount val="4"/>
                <c:pt idx="0">
                  <c:v>East Woodend (LURP)</c:v>
                </c:pt>
                <c:pt idx="1">
                  <c:v>Freeman</c:v>
                </c:pt>
                <c:pt idx="2">
                  <c:v>Pegasus</c:v>
                </c:pt>
                <c:pt idx="3">
                  <c:v>Ravenswood (LURP)</c:v>
                </c:pt>
              </c:strCache>
            </c:strRef>
          </c:cat>
          <c:val>
            <c:numRef>
              <c:f>'QUARTER 2 - OCT-DEC 2019 RES'!$J$18:$J$21</c:f>
              <c:numCache>
                <c:formatCode>0</c:formatCode>
                <c:ptCount val="4"/>
                <c:pt idx="0">
                  <c:v>163.22374919951994</c:v>
                </c:pt>
                <c:pt idx="1">
                  <c:v>185.45482810063999</c:v>
                </c:pt>
                <c:pt idx="2">
                  <c:v>279.68713937675261</c:v>
                </c:pt>
                <c:pt idx="3">
                  <c:v>1040.9145560414399</c:v>
                </c:pt>
              </c:numCache>
            </c:numRef>
          </c:val>
          <c:extLst>
            <c:ext xmlns:c16="http://schemas.microsoft.com/office/drawing/2014/chart" uri="{C3380CC4-5D6E-409C-BE32-E72D297353CC}">
              <c16:uniqueId val="{00000000-E1F7-4B4B-98D8-08F3EC96609C}"/>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1 - JUL-SEPY 2019 RES'!$A$18:$A$21</c:f>
              <c:strCache>
                <c:ptCount val="4"/>
                <c:pt idx="0">
                  <c:v>East Woodend (LURP)</c:v>
                </c:pt>
                <c:pt idx="1">
                  <c:v>Freeman</c:v>
                </c:pt>
                <c:pt idx="2">
                  <c:v>Pegasus</c:v>
                </c:pt>
                <c:pt idx="3">
                  <c:v>Ravenswood (LURP)</c:v>
                </c:pt>
              </c:strCache>
            </c:strRef>
          </c:cat>
          <c:val>
            <c:numRef>
              <c:f>'QUARTER 1 - JUL-SEPY 2019 RES'!$J$18:$J$21</c:f>
              <c:numCache>
                <c:formatCode>0</c:formatCode>
                <c:ptCount val="4"/>
                <c:pt idx="0">
                  <c:v>186.22374919951994</c:v>
                </c:pt>
                <c:pt idx="1">
                  <c:v>186.45482810063999</c:v>
                </c:pt>
                <c:pt idx="2">
                  <c:v>303.68713937675261</c:v>
                </c:pt>
                <c:pt idx="3">
                  <c:v>1058.9145560414399</c:v>
                </c:pt>
              </c:numCache>
            </c:numRef>
          </c:val>
          <c:extLst>
            <c:ext xmlns:c16="http://schemas.microsoft.com/office/drawing/2014/chart" uri="{C3380CC4-5D6E-409C-BE32-E72D297353CC}">
              <c16:uniqueId val="{00000000-9379-4D9A-A847-A7DB6B6AEB83}"/>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Woodend</a:t>
            </a:r>
            <a:r>
              <a:rPr lang="en-NZ" baseline="0"/>
              <a:t> Vacant Land - Zoned</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'QUARTER 4 - APR-JUN 2019 RES'!$A$18:$A$21</c:f>
              <c:strCache>
                <c:ptCount val="4"/>
                <c:pt idx="0">
                  <c:v>East Woodend (LURP)</c:v>
                </c:pt>
                <c:pt idx="1">
                  <c:v>Freeman</c:v>
                </c:pt>
                <c:pt idx="2">
                  <c:v>Pegasus</c:v>
                </c:pt>
                <c:pt idx="3">
                  <c:v>Ravenswood (LURP)</c:v>
                </c:pt>
              </c:strCache>
            </c:strRef>
          </c:cat>
          <c:val>
            <c:numRef>
              <c:f>'QUARTER 4 - APR-JUN 2019 RES'!$J$18:$J$21</c:f>
              <c:numCache>
                <c:formatCode>0</c:formatCode>
                <c:ptCount val="4"/>
                <c:pt idx="0">
                  <c:v>199</c:v>
                </c:pt>
                <c:pt idx="1">
                  <c:v>186</c:v>
                </c:pt>
                <c:pt idx="2">
                  <c:v>346</c:v>
                </c:pt>
                <c:pt idx="3">
                  <c:v>1125</c:v>
                </c:pt>
              </c:numCache>
            </c:numRef>
          </c:val>
          <c:extLst>
            <c:ext xmlns:c16="http://schemas.microsoft.com/office/drawing/2014/chart" uri="{C3380CC4-5D6E-409C-BE32-E72D297353CC}">
              <c16:uniqueId val="{00000000-D106-452B-90F7-8986B8DE7D4E}"/>
            </c:ext>
          </c:extLst>
        </c:ser>
        <c:dLbls>
          <c:showLegendKey val="0"/>
          <c:showVal val="0"/>
          <c:showCatName val="0"/>
          <c:showSerName val="0"/>
          <c:showPercent val="0"/>
          <c:showBubbleSize val="0"/>
        </c:dLbls>
        <c:gapWidth val="182"/>
        <c:axId val="514657120"/>
        <c:axId val="514658104"/>
      </c:barChart>
      <c:catAx>
        <c:axId val="51465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8104"/>
        <c:crosses val="autoZero"/>
        <c:auto val="1"/>
        <c:lblAlgn val="ctr"/>
        <c:lblOffset val="100"/>
        <c:noMultiLvlLbl val="0"/>
      </c:catAx>
      <c:valAx>
        <c:axId val="5146581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65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433387</xdr:colOff>
      <xdr:row>25</xdr:row>
      <xdr:rowOff>47625</xdr:rowOff>
    </xdr:from>
    <xdr:to>
      <xdr:col>21</xdr:col>
      <xdr:colOff>128587</xdr:colOff>
      <xdr:row>39</xdr:row>
      <xdr:rowOff>123825</xdr:rowOff>
    </xdr:to>
    <xdr:graphicFrame macro="">
      <xdr:nvGraphicFramePr>
        <xdr:cNvPr id="2" name="Chart 1">
          <a:extLst>
            <a:ext uri="{FF2B5EF4-FFF2-40B4-BE49-F238E27FC236}">
              <a16:creationId xmlns:a16="http://schemas.microsoft.com/office/drawing/2014/main" id="{62D275E3-979D-411D-B2C8-4DEA04FCA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433387</xdr:colOff>
      <xdr:row>25</xdr:row>
      <xdr:rowOff>47625</xdr:rowOff>
    </xdr:from>
    <xdr:to>
      <xdr:col>21</xdr:col>
      <xdr:colOff>128587</xdr:colOff>
      <xdr:row>39</xdr:row>
      <xdr:rowOff>123825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433387</xdr:colOff>
      <xdr:row>32</xdr:row>
      <xdr:rowOff>47625</xdr:rowOff>
    </xdr:from>
    <xdr:to>
      <xdr:col>21</xdr:col>
      <xdr:colOff>128587</xdr:colOff>
      <xdr:row>46</xdr:row>
      <xdr:rowOff>123825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433387</xdr:colOff>
      <xdr:row>32</xdr:row>
      <xdr:rowOff>47625</xdr:rowOff>
    </xdr:from>
    <xdr:to>
      <xdr:col>21</xdr:col>
      <xdr:colOff>128587</xdr:colOff>
      <xdr:row>46</xdr:row>
      <xdr:rowOff>123825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433387</xdr:colOff>
      <xdr:row>32</xdr:row>
      <xdr:rowOff>47625</xdr:rowOff>
    </xdr:from>
    <xdr:to>
      <xdr:col>21</xdr:col>
      <xdr:colOff>128587</xdr:colOff>
      <xdr:row>46</xdr:row>
      <xdr:rowOff>123825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433387</xdr:colOff>
      <xdr:row>27</xdr:row>
      <xdr:rowOff>47625</xdr:rowOff>
    </xdr:from>
    <xdr:to>
      <xdr:col>21</xdr:col>
      <xdr:colOff>128587</xdr:colOff>
      <xdr:row>41</xdr:row>
      <xdr:rowOff>123825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433387</xdr:colOff>
      <xdr:row>28</xdr:row>
      <xdr:rowOff>47625</xdr:rowOff>
    </xdr:from>
    <xdr:to>
      <xdr:col>21</xdr:col>
      <xdr:colOff>128587</xdr:colOff>
      <xdr:row>42</xdr:row>
      <xdr:rowOff>123825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433387</xdr:colOff>
      <xdr:row>32</xdr:row>
      <xdr:rowOff>47625</xdr:rowOff>
    </xdr:from>
    <xdr:to>
      <xdr:col>21</xdr:col>
      <xdr:colOff>128587</xdr:colOff>
      <xdr:row>46</xdr:row>
      <xdr:rowOff>123825</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245110</xdr:colOff>
      <xdr:row>42</xdr:row>
      <xdr:rowOff>80645</xdr:rowOff>
    </xdr:to>
    <xdr:pic>
      <xdr:nvPicPr>
        <xdr:cNvPr id="3" name="Picture 2">
          <a:extLst>
            <a:ext uri="{FF2B5EF4-FFF2-40B4-BE49-F238E27FC236}">
              <a16:creationId xmlns:a16="http://schemas.microsoft.com/office/drawing/2014/main" id="{F96741A1-6911-B9EC-40AF-FF6AA78E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31510" cy="8081645"/>
        </a:xfrm>
        <a:prstGeom prst="rect">
          <a:avLst/>
        </a:prstGeom>
      </xdr:spPr>
    </xdr:pic>
    <xdr:clientData/>
  </xdr:twoCellAnchor>
  <xdr:twoCellAnchor editAs="oneCell">
    <xdr:from>
      <xdr:col>0</xdr:col>
      <xdr:colOff>0</xdr:colOff>
      <xdr:row>43</xdr:row>
      <xdr:rowOff>0</xdr:rowOff>
    </xdr:from>
    <xdr:to>
      <xdr:col>9</xdr:col>
      <xdr:colOff>245110</xdr:colOff>
      <xdr:row>85</xdr:row>
      <xdr:rowOff>92075</xdr:rowOff>
    </xdr:to>
    <xdr:pic>
      <xdr:nvPicPr>
        <xdr:cNvPr id="4" name="Picture 3" descr="A map of a city&#10;&#10;Description automatically generated">
          <a:extLst>
            <a:ext uri="{FF2B5EF4-FFF2-40B4-BE49-F238E27FC236}">
              <a16:creationId xmlns:a16="http://schemas.microsoft.com/office/drawing/2014/main" id="{8DB83616-6BBB-829E-819C-E6EADE460D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191500"/>
          <a:ext cx="5731510" cy="8093075"/>
        </a:xfrm>
        <a:prstGeom prst="rect">
          <a:avLst/>
        </a:prstGeom>
      </xdr:spPr>
    </xdr:pic>
    <xdr:clientData/>
  </xdr:twoCellAnchor>
  <xdr:twoCellAnchor editAs="oneCell">
    <xdr:from>
      <xdr:col>0</xdr:col>
      <xdr:colOff>0</xdr:colOff>
      <xdr:row>87</xdr:row>
      <xdr:rowOff>0</xdr:rowOff>
    </xdr:from>
    <xdr:to>
      <xdr:col>9</xdr:col>
      <xdr:colOff>245110</xdr:colOff>
      <xdr:row>129</xdr:row>
      <xdr:rowOff>110490</xdr:rowOff>
    </xdr:to>
    <xdr:pic>
      <xdr:nvPicPr>
        <xdr:cNvPr id="5" name="Picture 4" descr="A satellite image of a land&#10;&#10;Description automatically generated">
          <a:extLst>
            <a:ext uri="{FF2B5EF4-FFF2-40B4-BE49-F238E27FC236}">
              <a16:creationId xmlns:a16="http://schemas.microsoft.com/office/drawing/2014/main" id="{163D873A-B492-7ACD-EF96-18B195A724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573500"/>
          <a:ext cx="5731510" cy="811149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7EA0-E9D7-47D7-BF28-6DE0397F634F}">
  <dimension ref="A1:B32"/>
  <sheetViews>
    <sheetView tabSelected="1" workbookViewId="0">
      <selection activeCell="E10" sqref="E10"/>
    </sheetView>
  </sheetViews>
  <sheetFormatPr defaultRowHeight="15" x14ac:dyDescent="0.25"/>
  <sheetData>
    <row r="1" spans="1:1" ht="18.75" x14ac:dyDescent="0.3">
      <c r="A1" s="68" t="s">
        <v>47</v>
      </c>
    </row>
    <row r="2" spans="1:1" x14ac:dyDescent="0.25">
      <c r="A2" t="s">
        <v>48</v>
      </c>
    </row>
    <row r="3" spans="1:1" x14ac:dyDescent="0.25">
      <c r="A3" t="s">
        <v>412</v>
      </c>
    </row>
    <row r="4" spans="1:1" x14ac:dyDescent="0.25">
      <c r="A4" t="s">
        <v>49</v>
      </c>
    </row>
    <row r="5" spans="1:1" x14ac:dyDescent="0.25">
      <c r="A5" t="s">
        <v>50</v>
      </c>
    </row>
    <row r="6" spans="1:1" x14ac:dyDescent="0.25">
      <c r="A6" t="s">
        <v>392</v>
      </c>
    </row>
    <row r="7" spans="1:1" x14ac:dyDescent="0.25">
      <c r="A7" t="s">
        <v>393</v>
      </c>
    </row>
    <row r="10" spans="1:1" ht="18.75" x14ac:dyDescent="0.3">
      <c r="A10" s="68" t="s">
        <v>394</v>
      </c>
    </row>
    <row r="12" spans="1:1" x14ac:dyDescent="0.25">
      <c r="A12" t="s">
        <v>395</v>
      </c>
    </row>
    <row r="13" spans="1:1" x14ac:dyDescent="0.25">
      <c r="A13" s="109" t="s">
        <v>396</v>
      </c>
    </row>
    <row r="14" spans="1:1" x14ac:dyDescent="0.25">
      <c r="A14" s="109"/>
    </row>
    <row r="15" spans="1:1" x14ac:dyDescent="0.25">
      <c r="A15" s="110" t="s">
        <v>397</v>
      </c>
    </row>
    <row r="16" spans="1:1" x14ac:dyDescent="0.25">
      <c r="A16" s="110" t="s">
        <v>398</v>
      </c>
    </row>
    <row r="17" spans="1:2" x14ac:dyDescent="0.25">
      <c r="A17" s="110" t="s">
        <v>399</v>
      </c>
    </row>
    <row r="18" spans="1:2" x14ac:dyDescent="0.25">
      <c r="A18" s="110" t="s">
        <v>400</v>
      </c>
    </row>
    <row r="19" spans="1:2" x14ac:dyDescent="0.25">
      <c r="A19" s="110" t="s">
        <v>401</v>
      </c>
    </row>
    <row r="20" spans="1:2" x14ac:dyDescent="0.25">
      <c r="A20" s="110" t="s">
        <v>402</v>
      </c>
    </row>
    <row r="21" spans="1:2" x14ac:dyDescent="0.25">
      <c r="A21" s="110" t="s">
        <v>403</v>
      </c>
    </row>
    <row r="23" spans="1:2" x14ac:dyDescent="0.25">
      <c r="A23" s="109">
        <v>2</v>
      </c>
      <c r="B23" t="s">
        <v>404</v>
      </c>
    </row>
    <row r="24" spans="1:2" x14ac:dyDescent="0.25">
      <c r="A24" s="109"/>
      <c r="B24" t="s">
        <v>406</v>
      </c>
    </row>
    <row r="25" spans="1:2" x14ac:dyDescent="0.25">
      <c r="B25" t="s">
        <v>405</v>
      </c>
    </row>
    <row r="26" spans="1:2" x14ac:dyDescent="0.25">
      <c r="B26" t="s">
        <v>408</v>
      </c>
    </row>
    <row r="27" spans="1:2" x14ac:dyDescent="0.25">
      <c r="B27" t="s">
        <v>409</v>
      </c>
    </row>
    <row r="29" spans="1:2" x14ac:dyDescent="0.25">
      <c r="A29">
        <v>3</v>
      </c>
      <c r="B29" t="s">
        <v>407</v>
      </c>
    </row>
    <row r="30" spans="1:2" x14ac:dyDescent="0.25">
      <c r="B30" t="s">
        <v>411</v>
      </c>
    </row>
    <row r="32" spans="1:2" x14ac:dyDescent="0.25">
      <c r="A32">
        <v>4</v>
      </c>
      <c r="B32" t="s">
        <v>410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23"/>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756</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45</v>
      </c>
      <c r="J4" s="14">
        <f t="shared" ref="J4:J21" si="5">H4-I4</f>
        <v>0.94389237960000827</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195</v>
      </c>
      <c r="J5" s="14">
        <f t="shared" si="5"/>
        <v>21.070119906000002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56</v>
      </c>
      <c r="J6" s="14">
        <f t="shared" si="5"/>
        <v>606.87691668112006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398</v>
      </c>
      <c r="J7" s="14"/>
      <c r="K7" s="55"/>
      <c r="N7" s="51"/>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56</v>
      </c>
      <c r="J8" s="14">
        <f t="shared" si="5"/>
        <v>4.1933123848000022</v>
      </c>
      <c r="K8" s="55"/>
      <c r="N8" s="51"/>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136</v>
      </c>
      <c r="J9" s="14">
        <f t="shared" si="5"/>
        <v>8.3481446758400182</v>
      </c>
      <c r="K9" s="55"/>
      <c r="N9" s="51"/>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N10" s="51"/>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c r="N11" s="51"/>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82</v>
      </c>
      <c r="J12" s="14">
        <f t="shared" si="5"/>
        <v>67.125269943919989</v>
      </c>
      <c r="K12" s="55"/>
    </row>
    <row r="13" spans="1:19" x14ac:dyDescent="0.25">
      <c r="A13" s="19" t="s">
        <v>10</v>
      </c>
      <c r="B13" s="47"/>
      <c r="C13" s="20"/>
      <c r="D13" s="47"/>
      <c r="E13" s="50"/>
      <c r="F13" s="23"/>
      <c r="G13" s="24"/>
      <c r="H13" s="43"/>
      <c r="I13" s="43"/>
      <c r="J13" s="14">
        <f t="shared" si="5"/>
        <v>0</v>
      </c>
      <c r="K13" s="55"/>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161</v>
      </c>
      <c r="J14" s="14">
        <f t="shared" si="5"/>
        <v>202.09527498400001</v>
      </c>
      <c r="K14" s="55"/>
      <c r="N14" s="51"/>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630</v>
      </c>
      <c r="J15" s="14">
        <f t="shared" si="5"/>
        <v>3.9110182800000075</v>
      </c>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896</v>
      </c>
      <c r="J16" s="14"/>
      <c r="K16" s="55"/>
    </row>
    <row r="17" spans="1:11" x14ac:dyDescent="0.25">
      <c r="A17" s="19" t="s">
        <v>11</v>
      </c>
      <c r="B17" s="47"/>
      <c r="C17" s="20"/>
      <c r="D17" s="47"/>
      <c r="E17" s="50"/>
      <c r="F17" s="23"/>
      <c r="G17" s="24"/>
      <c r="H17" s="26"/>
      <c r="I17" s="43"/>
      <c r="J17" s="14">
        <f t="shared" si="5"/>
        <v>0</v>
      </c>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176</v>
      </c>
      <c r="J18" s="14">
        <f t="shared" si="5"/>
        <v>119.22374919951994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4</v>
      </c>
      <c r="J19" s="14">
        <f t="shared" si="5"/>
        <v>188.45482810063999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1315</v>
      </c>
      <c r="J20" s="14">
        <f t="shared" si="5"/>
        <v>94.687139376752611</v>
      </c>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293</v>
      </c>
      <c r="J21" s="14">
        <f t="shared" si="5"/>
        <v>912.91455604143994</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5236</v>
      </c>
      <c r="J22" s="11">
        <f>SUMIFS(J3:J21,J3:J21,"&gt;0")</f>
        <v>2378.5667331049926</v>
      </c>
      <c r="K22" s="3"/>
    </row>
    <row r="23" spans="1:11" x14ac:dyDescent="0.25">
      <c r="B23" s="3"/>
      <c r="C23" s="3"/>
      <c r="D23" s="3"/>
      <c r="E23" s="3"/>
      <c r="F23" s="3"/>
      <c r="G23" s="3"/>
      <c r="H23" s="3"/>
    </row>
  </sheetData>
  <pageMargins left="0.7" right="0.7" top="0.75" bottom="0.75" header="0.3" footer="0.3"/>
  <pageSetup paperSize="9" scale="53"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22"/>
  <sheetViews>
    <sheetView workbookViewId="0">
      <pane xSplit="1" ySplit="1" topLeftCell="C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744</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45</v>
      </c>
      <c r="J4" s="14">
        <f t="shared" ref="J4:J21" si="5">H4-I4</f>
        <v>0.94389237960000827</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195</v>
      </c>
      <c r="J5" s="14">
        <f t="shared" si="5"/>
        <v>21.070119906000002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43</v>
      </c>
      <c r="J6" s="14">
        <f t="shared" si="5"/>
        <v>619.87691668112006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391</v>
      </c>
      <c r="J7" s="14"/>
      <c r="K7" s="55"/>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50</v>
      </c>
      <c r="J8" s="14">
        <f t="shared" si="5"/>
        <v>10.193312384800002</v>
      </c>
      <c r="K8" s="55"/>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135</v>
      </c>
      <c r="J9" s="14">
        <f t="shared" si="5"/>
        <v>9.3481446758400182</v>
      </c>
      <c r="K9" s="55"/>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81</v>
      </c>
      <c r="J12" s="14">
        <f t="shared" si="5"/>
        <v>68.125269943919989</v>
      </c>
      <c r="K12" s="55"/>
    </row>
    <row r="13" spans="1:19" x14ac:dyDescent="0.25">
      <c r="A13" s="19" t="s">
        <v>10</v>
      </c>
      <c r="B13" s="47"/>
      <c r="C13" s="20"/>
      <c r="D13" s="47"/>
      <c r="E13" s="50"/>
      <c r="F13" s="23"/>
      <c r="G13" s="24"/>
      <c r="H13" s="43"/>
      <c r="I13" s="43"/>
      <c r="J13" s="14">
        <f t="shared" si="5"/>
        <v>0</v>
      </c>
      <c r="K13" s="55"/>
      <c r="L13" s="51"/>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160</v>
      </c>
      <c r="J14" s="14">
        <f t="shared" si="5"/>
        <v>203.09527498400001</v>
      </c>
      <c r="K14" s="55"/>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574</v>
      </c>
      <c r="J15" s="14">
        <f t="shared" si="5"/>
        <v>59.911018280000008</v>
      </c>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892</v>
      </c>
      <c r="J16" s="14"/>
      <c r="K16" s="55"/>
    </row>
    <row r="17" spans="1:12" x14ac:dyDescent="0.25">
      <c r="A17" s="19" t="s">
        <v>11</v>
      </c>
      <c r="B17" s="47"/>
      <c r="C17" s="20"/>
      <c r="D17" s="47"/>
      <c r="E17" s="50"/>
      <c r="F17" s="23"/>
      <c r="G17" s="24"/>
      <c r="H17" s="26"/>
      <c r="I17" s="43"/>
      <c r="J17" s="14">
        <f t="shared" si="5"/>
        <v>0</v>
      </c>
      <c r="K17" s="55"/>
      <c r="L17" s="51"/>
    </row>
    <row r="18" spans="1:12"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174</v>
      </c>
      <c r="J18" s="14">
        <f t="shared" si="5"/>
        <v>121.22374919951994</v>
      </c>
      <c r="K18" s="55"/>
    </row>
    <row r="19" spans="1:12"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6</v>
      </c>
      <c r="J19" s="14">
        <f t="shared" si="5"/>
        <v>186.45482810063999</v>
      </c>
      <c r="K19" s="55"/>
    </row>
    <row r="20" spans="1:12"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1269</v>
      </c>
      <c r="J20" s="14">
        <f t="shared" si="5"/>
        <v>140.68713937675261</v>
      </c>
      <c r="K20" s="55"/>
    </row>
    <row r="21" spans="1:12"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187</v>
      </c>
      <c r="J21" s="14">
        <f t="shared" si="5"/>
        <v>1018.9145560414399</v>
      </c>
      <c r="K21" s="55"/>
      <c r="L21" s="51"/>
    </row>
    <row r="22" spans="1:12"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4983</v>
      </c>
      <c r="J22" s="11">
        <f>SUMIFS(J3:J21,J3:J21,"&gt;0")</f>
        <v>2608.5667331049926</v>
      </c>
      <c r="K22" s="3"/>
    </row>
  </sheetData>
  <pageMargins left="0.7" right="0.7" top="0.75" bottom="0.75" header="0.3" footer="0.3"/>
  <pageSetup paperSize="9" scale="53"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23"/>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744</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45</v>
      </c>
      <c r="J4" s="14">
        <f t="shared" ref="J4:J12" si="5">H4-I4</f>
        <v>0.94389237960000827</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194</v>
      </c>
      <c r="J5" s="14">
        <f t="shared" si="5"/>
        <v>22.070119906000002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28</v>
      </c>
      <c r="J6" s="14">
        <f t="shared" si="5"/>
        <v>634.87691668112006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358</v>
      </c>
      <c r="J7" s="14">
        <f t="shared" si="5"/>
        <v>18</v>
      </c>
      <c r="K7" s="55"/>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47</v>
      </c>
      <c r="J8" s="14">
        <f t="shared" si="5"/>
        <v>13.193312384800002</v>
      </c>
      <c r="K8" s="55"/>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134</v>
      </c>
      <c r="J9" s="14">
        <f t="shared" si="5"/>
        <v>10.348144675840018</v>
      </c>
      <c r="K9" s="55"/>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81</v>
      </c>
      <c r="J12" s="14">
        <f t="shared" si="5"/>
        <v>68.125269943919989</v>
      </c>
      <c r="K12" s="55"/>
    </row>
    <row r="13" spans="1:19" x14ac:dyDescent="0.25">
      <c r="A13" s="19" t="s">
        <v>10</v>
      </c>
      <c r="B13" s="47"/>
      <c r="C13" s="20"/>
      <c r="D13" s="47"/>
      <c r="E13" s="50"/>
      <c r="F13" s="23"/>
      <c r="G13" s="24"/>
      <c r="H13" s="43"/>
      <c r="I13" s="43"/>
      <c r="J13" s="14"/>
      <c r="K13" s="55"/>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160</v>
      </c>
      <c r="J14" s="14">
        <f>H14-I14</f>
        <v>203.09527498400001</v>
      </c>
      <c r="K14" s="55"/>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544</v>
      </c>
      <c r="J15" s="14">
        <f t="shared" ref="J15" si="6">H15-I15</f>
        <v>89.911018280000008</v>
      </c>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891</v>
      </c>
      <c r="J16" s="14"/>
      <c r="K16" s="55"/>
    </row>
    <row r="17" spans="1:13" x14ac:dyDescent="0.25">
      <c r="A17" s="19" t="s">
        <v>11</v>
      </c>
      <c r="B17" s="47"/>
      <c r="C17" s="20"/>
      <c r="D17" s="47"/>
      <c r="E17" s="50"/>
      <c r="F17" s="23"/>
      <c r="G17" s="24"/>
      <c r="H17" s="26"/>
      <c r="I17" s="43"/>
      <c r="J17" s="14"/>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165</v>
      </c>
      <c r="J18" s="14">
        <f>H18-I18</f>
        <v>130.22374919951994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7</v>
      </c>
      <c r="J19" s="14">
        <f t="shared" ref="J19:J21" si="7">H19-I19</f>
        <v>185.45482810063999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1209</v>
      </c>
      <c r="J20" s="14">
        <f t="shared" si="7"/>
        <v>200.68713937675261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184</v>
      </c>
      <c r="J21" s="14">
        <f t="shared" si="7"/>
        <v>1021.9145560414399</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4828</v>
      </c>
      <c r="J22" s="11">
        <f>SUMIFS(J3:J21,J3:J21,"&gt;0")</f>
        <v>2747.5667331049926</v>
      </c>
      <c r="K22" s="3"/>
      <c r="L22" s="3"/>
      <c r="M22" s="3"/>
    </row>
    <row r="23" spans="1:13" x14ac:dyDescent="0.25">
      <c r="B23" s="3"/>
      <c r="C23" s="3"/>
      <c r="D23" s="3"/>
      <c r="E23" s="3"/>
      <c r="F23" s="3"/>
      <c r="G23" s="3"/>
      <c r="H23" s="3"/>
    </row>
  </sheetData>
  <pageMargins left="0.7" right="0.7" top="0.75" bottom="0.75" header="0.3" footer="0.3"/>
  <pageSetup paperSize="9" scale="53"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22"/>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743</v>
      </c>
      <c r="J3" s="14"/>
      <c r="K3" s="55"/>
    </row>
    <row r="4" spans="1:13" x14ac:dyDescent="0.25">
      <c r="A4" s="13" t="s">
        <v>30</v>
      </c>
      <c r="B4" s="46">
        <v>51726.111062000004</v>
      </c>
      <c r="C4" s="14">
        <f t="shared" ref="C4:C18" si="1">SUM(B4/10000)</f>
        <v>5.1726111062000006</v>
      </c>
      <c r="D4" s="46">
        <v>13439.534079000001</v>
      </c>
      <c r="E4" s="49">
        <f t="shared" ref="E4:E18" si="2">SUM(D4/10000)</f>
        <v>1.3439534079000002</v>
      </c>
      <c r="F4" s="16">
        <f t="shared" si="0"/>
        <v>0.25982108074761495</v>
      </c>
      <c r="G4" s="17">
        <f t="shared" ref="G4:G18" si="3">SUM(C4-E4)</f>
        <v>3.8286576983000007</v>
      </c>
      <c r="H4" s="14">
        <f t="shared" ref="H4:H18" si="4">SUM(G4*12)</f>
        <v>45.943892379600008</v>
      </c>
      <c r="I4" s="14">
        <v>43</v>
      </c>
      <c r="J4" s="14">
        <f t="shared" ref="J4:J18" si="5">H4-I4</f>
        <v>2.9438923796000083</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193</v>
      </c>
      <c r="J5" s="14">
        <f t="shared" si="5"/>
        <v>23.070119906000002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19</v>
      </c>
      <c r="J6" s="14">
        <f t="shared" si="5"/>
        <v>643.87691668112006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272</v>
      </c>
      <c r="J7" s="14">
        <f t="shared" si="5"/>
        <v>104</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44</v>
      </c>
      <c r="J8" s="14">
        <f t="shared" si="5"/>
        <v>16.193312384800002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130</v>
      </c>
      <c r="J9" s="14">
        <f t="shared" si="5"/>
        <v>14.348144675840018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80</v>
      </c>
      <c r="J12" s="14">
        <f t="shared" si="5"/>
        <v>69.125269943919989</v>
      </c>
      <c r="K12" s="55"/>
    </row>
    <row r="13" spans="1:13" x14ac:dyDescent="0.25">
      <c r="A13" s="19" t="s">
        <v>10</v>
      </c>
      <c r="B13" s="47"/>
      <c r="C13" s="20"/>
      <c r="D13" s="47"/>
      <c r="E13" s="50"/>
      <c r="F13" s="23"/>
      <c r="G13" s="24"/>
      <c r="H13" s="43"/>
      <c r="I13" s="43"/>
      <c r="J13" s="14">
        <f t="shared" si="5"/>
        <v>0</v>
      </c>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159</v>
      </c>
      <c r="J14" s="14">
        <f t="shared" si="5"/>
        <v>204.09527498400001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539</v>
      </c>
      <c r="J15" s="14">
        <f t="shared" si="5"/>
        <v>94.911018280000008</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891</v>
      </c>
      <c r="J16" s="14"/>
      <c r="K16" s="55"/>
    </row>
    <row r="17" spans="1:11" x14ac:dyDescent="0.25">
      <c r="A17" s="19" t="s">
        <v>11</v>
      </c>
      <c r="B17" s="47"/>
      <c r="C17" s="20"/>
      <c r="D17" s="47"/>
      <c r="E17" s="50"/>
      <c r="F17" s="23"/>
      <c r="G17" s="24"/>
      <c r="H17" s="26"/>
      <c r="I17" s="43"/>
      <c r="J17" s="14">
        <f t="shared" si="5"/>
        <v>0</v>
      </c>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146</v>
      </c>
      <c r="J18" s="14">
        <f t="shared" si="5"/>
        <v>149.22374919951994</v>
      </c>
      <c r="K18" s="55"/>
    </row>
    <row r="19" spans="1:11" x14ac:dyDescent="0.25">
      <c r="K19" s="55"/>
    </row>
    <row r="20" spans="1:11" x14ac:dyDescent="0.25">
      <c r="K20" s="55"/>
    </row>
    <row r="21" spans="1:11" x14ac:dyDescent="0.25">
      <c r="K21" s="55"/>
    </row>
    <row r="22" spans="1:11" x14ac:dyDescent="0.25">
      <c r="K22" s="3"/>
    </row>
  </sheetData>
  <pageMargins left="0.7" right="0.7" top="0.75" bottom="0.75" header="0.3" footer="0.3"/>
  <pageSetup paperSize="9" scale="5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3"/>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753</v>
      </c>
      <c r="J3" s="14"/>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43</v>
      </c>
      <c r="J4" s="14">
        <f t="shared" ref="J4:J21" si="5">H4-I4</f>
        <v>2.9438923796000083</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193</v>
      </c>
      <c r="J5" s="14">
        <f t="shared" si="5"/>
        <v>23.070119906000002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17</v>
      </c>
      <c r="J6" s="14">
        <f t="shared" si="5"/>
        <v>645.87691668112006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247</v>
      </c>
      <c r="J7" s="14">
        <f t="shared" si="5"/>
        <v>129</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42</v>
      </c>
      <c r="J8" s="14">
        <f t="shared" si="5"/>
        <v>18.193312384800002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129</v>
      </c>
      <c r="J9" s="14">
        <f t="shared" si="5"/>
        <v>15.348144675840018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80</v>
      </c>
      <c r="J12" s="14">
        <f t="shared" si="5"/>
        <v>69.125269943919989</v>
      </c>
      <c r="K12" s="55"/>
    </row>
    <row r="13" spans="1:13" x14ac:dyDescent="0.25">
      <c r="A13" s="19" t="s">
        <v>10</v>
      </c>
      <c r="B13" s="47"/>
      <c r="C13" s="20"/>
      <c r="D13" s="47"/>
      <c r="E13" s="50"/>
      <c r="F13" s="23"/>
      <c r="G13" s="24"/>
      <c r="H13" s="43"/>
      <c r="I13" s="43"/>
      <c r="J13" s="14">
        <f t="shared" si="5"/>
        <v>0</v>
      </c>
      <c r="K13" s="55"/>
      <c r="L13" s="51"/>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151</v>
      </c>
      <c r="J14" s="14">
        <f t="shared" si="5"/>
        <v>212.09527498400001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533</v>
      </c>
      <c r="J15" s="14">
        <f t="shared" si="5"/>
        <v>100.91101828000001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890</v>
      </c>
      <c r="J16" s="14"/>
      <c r="K16" s="55"/>
    </row>
    <row r="17" spans="1:13" x14ac:dyDescent="0.25">
      <c r="A17" s="19" t="s">
        <v>11</v>
      </c>
      <c r="B17" s="47"/>
      <c r="C17" s="20"/>
      <c r="D17" s="47"/>
      <c r="E17" s="50"/>
      <c r="F17" s="23"/>
      <c r="G17" s="24"/>
      <c r="H17" s="26"/>
      <c r="I17" s="43"/>
      <c r="J17" s="14">
        <f t="shared" si="5"/>
        <v>0</v>
      </c>
      <c r="K17" s="55"/>
      <c r="L17" s="51"/>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144</v>
      </c>
      <c r="J18" s="14">
        <f t="shared" si="5"/>
        <v>151.22374919951994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7</v>
      </c>
      <c r="J19" s="14">
        <f t="shared" si="5"/>
        <v>185.45482810063999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1159</v>
      </c>
      <c r="J20" s="14">
        <f t="shared" si="5"/>
        <v>250.68713937675261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172</v>
      </c>
      <c r="J21" s="14">
        <f t="shared" si="5"/>
        <v>1033.9145560414399</v>
      </c>
      <c r="K21" s="55"/>
      <c r="L21" s="51"/>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4598</v>
      </c>
      <c r="J22" s="11">
        <f>SUMIFS(J3:J21,J3:J21,"&gt;0")</f>
        <v>2985.5667331049926</v>
      </c>
      <c r="K22" s="3"/>
      <c r="L22" s="3"/>
      <c r="M22" s="3"/>
    </row>
    <row r="23" spans="1:13" x14ac:dyDescent="0.25">
      <c r="B23" s="3"/>
      <c r="C23" s="3"/>
      <c r="D23" s="3"/>
      <c r="E23" s="3"/>
      <c r="F23" s="3"/>
      <c r="G23" s="3"/>
      <c r="H23" s="3"/>
    </row>
  </sheetData>
  <pageMargins left="0.7" right="0.7" top="0.75" bottom="0.75" header="0.3" footer="0.3"/>
  <pageSetup paperSize="9" scale="5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23"/>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728</v>
      </c>
      <c r="J3" s="14"/>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42</v>
      </c>
      <c r="J4" s="14">
        <f t="shared" ref="J4:J21" si="5">H4-I4</f>
        <v>3.9438923796000083</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192</v>
      </c>
      <c r="J5" s="14">
        <f t="shared" si="5"/>
        <v>24.070119906000002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13</v>
      </c>
      <c r="J6" s="14">
        <f t="shared" si="5"/>
        <v>649.87691668112006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231</v>
      </c>
      <c r="J7" s="14">
        <f t="shared" si="5"/>
        <v>145</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38</v>
      </c>
      <c r="J8" s="14">
        <f t="shared" si="5"/>
        <v>22.193312384800002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120</v>
      </c>
      <c r="J9" s="14">
        <f t="shared" si="5"/>
        <v>24.348144675840018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78</v>
      </c>
      <c r="J12" s="14">
        <f t="shared" si="5"/>
        <v>71.125269943919989</v>
      </c>
      <c r="K12" s="55"/>
    </row>
    <row r="13" spans="1:13" x14ac:dyDescent="0.25">
      <c r="A13" s="19" t="s">
        <v>10</v>
      </c>
      <c r="B13" s="47"/>
      <c r="C13" s="20"/>
      <c r="D13" s="47"/>
      <c r="E13" s="50"/>
      <c r="F13" s="23"/>
      <c r="G13" s="24"/>
      <c r="H13" s="43"/>
      <c r="I13" s="43"/>
      <c r="J13" s="14">
        <f t="shared" si="5"/>
        <v>0</v>
      </c>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151</v>
      </c>
      <c r="J14" s="14">
        <f t="shared" si="5"/>
        <v>212.09527498400001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525</v>
      </c>
      <c r="J15" s="14">
        <f t="shared" si="5"/>
        <v>108.91101828000001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888</v>
      </c>
      <c r="J16" s="14"/>
      <c r="K16" s="55"/>
    </row>
    <row r="17" spans="1:13" x14ac:dyDescent="0.25">
      <c r="A17" s="19" t="s">
        <v>11</v>
      </c>
      <c r="B17" s="47"/>
      <c r="C17" s="20"/>
      <c r="D17" s="47"/>
      <c r="E17" s="50"/>
      <c r="F17" s="23"/>
      <c r="G17" s="24"/>
      <c r="H17" s="26"/>
      <c r="I17" s="43"/>
      <c r="J17" s="14">
        <f t="shared" si="5"/>
        <v>0</v>
      </c>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132</v>
      </c>
      <c r="J18" s="14">
        <f t="shared" si="5"/>
        <v>163.22374919951994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7</v>
      </c>
      <c r="J19" s="14">
        <f t="shared" si="5"/>
        <v>185.45482810063999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1130</v>
      </c>
      <c r="J20" s="14">
        <f t="shared" si="5"/>
        <v>279.68713937675261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165</v>
      </c>
      <c r="J21" s="14">
        <f t="shared" si="5"/>
        <v>1040.9145560414399</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4478</v>
      </c>
      <c r="J22" s="11">
        <f>SUMIFS(J3:J21,J3:J21,"&gt;0")</f>
        <v>3078.5667331049926</v>
      </c>
      <c r="K22" s="3"/>
      <c r="L22" s="3"/>
      <c r="M22" s="3"/>
    </row>
    <row r="23" spans="1:13" x14ac:dyDescent="0.25">
      <c r="B23" s="3"/>
      <c r="C23" s="3"/>
      <c r="D23" s="3"/>
      <c r="E23" s="3"/>
      <c r="F23" s="3"/>
      <c r="G23" s="3"/>
      <c r="H23" s="3"/>
    </row>
  </sheetData>
  <pageMargins left="0.7" right="0.7" top="0.75" bottom="0.75" header="0.3" footer="0.3"/>
  <pageSetup paperSize="9" scale="53"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24"/>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720</v>
      </c>
      <c r="J3" s="14"/>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42</v>
      </c>
      <c r="J4" s="14">
        <f t="shared" ref="J4:J21" si="5">H4-I4</f>
        <v>3.9438923796000083</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192</v>
      </c>
      <c r="J5" s="14">
        <f t="shared" si="5"/>
        <v>24.070119906000002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13</v>
      </c>
      <c r="J6" s="14">
        <f t="shared" si="5"/>
        <v>649.87691668112006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218</v>
      </c>
      <c r="J7" s="14">
        <f t="shared" si="5"/>
        <v>158</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35</v>
      </c>
      <c r="J8" s="14">
        <f t="shared" si="5"/>
        <v>25.193312384800002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113</v>
      </c>
      <c r="J9" s="14">
        <f t="shared" si="5"/>
        <v>31.348144675840018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77</v>
      </c>
      <c r="J12" s="14">
        <f t="shared" si="5"/>
        <v>72.125269943919989</v>
      </c>
      <c r="K12" s="55"/>
    </row>
    <row r="13" spans="1:13" x14ac:dyDescent="0.25">
      <c r="A13" s="19" t="s">
        <v>10</v>
      </c>
      <c r="B13" s="47"/>
      <c r="C13" s="20"/>
      <c r="D13" s="47"/>
      <c r="E13" s="50"/>
      <c r="F13" s="23"/>
      <c r="G13" s="24"/>
      <c r="H13" s="43"/>
      <c r="I13" s="43"/>
      <c r="J13" s="14"/>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158</v>
      </c>
      <c r="J14" s="14">
        <f t="shared" si="5"/>
        <v>205.09527498400001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514</v>
      </c>
      <c r="J15" s="14">
        <f t="shared" si="5"/>
        <v>119.91101828000001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886</v>
      </c>
      <c r="J16" s="14"/>
      <c r="K16" s="55"/>
    </row>
    <row r="17" spans="1:11" x14ac:dyDescent="0.25">
      <c r="A17" s="19" t="s">
        <v>11</v>
      </c>
      <c r="B17" s="47"/>
      <c r="C17" s="20"/>
      <c r="D17" s="47"/>
      <c r="E17" s="50"/>
      <c r="F17" s="23"/>
      <c r="G17" s="24"/>
      <c r="H17" s="26"/>
      <c r="I17" s="43"/>
      <c r="J17" s="14"/>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109</v>
      </c>
      <c r="J18" s="14">
        <f t="shared" si="5"/>
        <v>186.22374919951994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6</v>
      </c>
      <c r="J19" s="14">
        <f t="shared" si="5"/>
        <v>186.45482810063999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1106</v>
      </c>
      <c r="J20" s="14">
        <f t="shared" si="5"/>
        <v>303.68713937675261</v>
      </c>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147</v>
      </c>
      <c r="J21" s="14">
        <f t="shared" si="5"/>
        <v>1058.9145560414399</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4374</v>
      </c>
      <c r="J22" s="11">
        <f>SUMIFS(J3:J21,J3:J21,"&gt;0")</f>
        <v>3172.5667331049926</v>
      </c>
      <c r="K22" s="3"/>
    </row>
    <row r="23" spans="1:11" x14ac:dyDescent="0.25">
      <c r="B23" s="3"/>
      <c r="C23" s="3"/>
      <c r="D23" s="3"/>
      <c r="E23" s="3"/>
      <c r="F23" s="3"/>
      <c r="G23" s="3"/>
      <c r="H23" s="3"/>
    </row>
    <row r="24" spans="1:11" x14ac:dyDescent="0.25">
      <c r="A24" s="45"/>
      <c r="C24" s="8"/>
      <c r="D24" s="10"/>
      <c r="E24" s="10"/>
      <c r="F24" s="10"/>
      <c r="G24" s="10"/>
      <c r="H24" s="9"/>
      <c r="I24" s="7"/>
    </row>
  </sheetData>
  <pageMargins left="0.7" right="0.7" top="0.75" bottom="0.75" header="0.3" footer="0.3"/>
  <pageSetup paperSize="9" scale="53"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22"/>
  <sheetViews>
    <sheetView workbookViewId="0">
      <pane xSplit="1" ySplit="1" topLeftCell="B2" activePane="bottomRight" state="frozen"/>
      <selection pane="topRight" activeCell="B1" sqref="B1"/>
      <selection pane="bottomLeft" activeCell="A2" sqref="A2"/>
      <selection pane="bottomRight" activeCell="K17" sqref="K17"/>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694</v>
      </c>
      <c r="J3" s="14"/>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40</v>
      </c>
      <c r="J4" s="14">
        <v>4</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192</v>
      </c>
      <c r="J5" s="14">
        <v>24</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v>652</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209</v>
      </c>
      <c r="J7" s="14">
        <v>162</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23</v>
      </c>
      <c r="J8" s="14">
        <v>35</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85</v>
      </c>
      <c r="J9" s="14">
        <v>38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v>127</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v>21</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76</v>
      </c>
      <c r="J12" s="14">
        <v>73</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150</v>
      </c>
      <c r="J14" s="14">
        <v>212</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490</v>
      </c>
      <c r="J15" s="14">
        <v>123</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883</v>
      </c>
      <c r="J16" s="14"/>
      <c r="K16" s="55"/>
    </row>
    <row r="17" spans="1:11" x14ac:dyDescent="0.25">
      <c r="A17" s="19" t="s">
        <v>11</v>
      </c>
      <c r="B17" s="47"/>
      <c r="C17" s="20"/>
      <c r="D17" s="47"/>
      <c r="E17" s="50"/>
      <c r="F17" s="23"/>
      <c r="G17" s="24"/>
      <c r="H17" s="26"/>
      <c r="I17" s="26"/>
      <c r="J17" s="43"/>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86</v>
      </c>
      <c r="J18" s="14">
        <v>199</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v>186</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1050</v>
      </c>
      <c r="J20" s="14">
        <v>346</v>
      </c>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74</v>
      </c>
      <c r="J21" s="14">
        <v>1125</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4105</v>
      </c>
      <c r="J22" s="11">
        <f>SUMIFS(J3:J21,J3:J21,"&gt;0")</f>
        <v>3327</v>
      </c>
      <c r="K22" s="3"/>
    </row>
  </sheetData>
  <pageMargins left="0.7" right="0.7" top="0.75" bottom="0.75" header="0.3" footer="0.3"/>
  <pageSetup paperSize="9" scale="53"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23"/>
  <sheetViews>
    <sheetView workbookViewId="0">
      <pane xSplit="1" ySplit="1" topLeftCell="B3" activePane="bottomRight" state="frozen"/>
      <selection pane="topRight" activeCell="B1" sqref="B1"/>
      <selection pane="bottomLeft" activeCell="A2" sqref="A2"/>
      <selection pane="bottomRight" activeCell="K11" sqref="K11"/>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694</v>
      </c>
      <c r="J3" s="14"/>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40</v>
      </c>
      <c r="J4" s="14">
        <f t="shared" ref="J4:J21" si="5">H4-I4</f>
        <v>5.9438923796000083</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192</v>
      </c>
      <c r="J5" s="14">
        <f t="shared" si="5"/>
        <v>24.070119906000002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209</v>
      </c>
      <c r="J7" s="14">
        <f t="shared" si="5"/>
        <v>167</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23</v>
      </c>
      <c r="J8" s="14">
        <f t="shared" si="5"/>
        <v>37.193312384800002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85</v>
      </c>
      <c r="J9" s="14">
        <f t="shared" si="5"/>
        <v>59.348144675840018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76</v>
      </c>
      <c r="J12" s="14">
        <f t="shared" si="5"/>
        <v>73.125269943919989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150</v>
      </c>
      <c r="J14" s="14">
        <f t="shared" si="5"/>
        <v>213.09527498400001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490</v>
      </c>
      <c r="J15" s="14">
        <f t="shared" si="5"/>
        <v>143.91101828000001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883</v>
      </c>
      <c r="J16" s="14"/>
      <c r="K16" s="55"/>
    </row>
    <row r="17" spans="1:13" x14ac:dyDescent="0.25">
      <c r="A17" s="19" t="s">
        <v>11</v>
      </c>
      <c r="B17" s="47"/>
      <c r="C17" s="20"/>
      <c r="D17" s="47"/>
      <c r="E17" s="50"/>
      <c r="F17" s="23"/>
      <c r="G17" s="24"/>
      <c r="H17" s="26"/>
      <c r="I17" s="26"/>
      <c r="J17" s="43"/>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86</v>
      </c>
      <c r="J18" s="14">
        <f t="shared" si="5"/>
        <v>209.22374919951994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1050</v>
      </c>
      <c r="J20" s="14">
        <f t="shared" si="5"/>
        <v>359.68713937675261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74</v>
      </c>
      <c r="J21" s="14">
        <f t="shared" si="5"/>
        <v>1131.9145560414399</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4105</v>
      </c>
      <c r="J22" s="11">
        <f>SUMIFS(J3:J21,J3:J21,"&gt;0")</f>
        <v>3412.5667331049926</v>
      </c>
      <c r="K22" s="3"/>
      <c r="L22" s="3"/>
      <c r="M22" s="3"/>
    </row>
    <row r="23" spans="1:13" x14ac:dyDescent="0.25">
      <c r="B23" s="3"/>
      <c r="C23" s="3"/>
      <c r="D23" s="3"/>
      <c r="E23" s="3"/>
      <c r="F23" s="3"/>
      <c r="G23" s="3"/>
      <c r="H23" s="3"/>
    </row>
  </sheetData>
  <pageMargins left="0.7" right="0.7" top="0.75" bottom="0.75" header="0.3" footer="0.3"/>
  <pageSetup paperSize="9" scale="53"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23"/>
  <sheetViews>
    <sheetView workbookViewId="0">
      <pane xSplit="1" ySplit="1" topLeftCell="D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693</v>
      </c>
      <c r="J3" s="14"/>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36</v>
      </c>
      <c r="J4" s="14">
        <f t="shared" ref="J4:J21" si="5">H4-I4</f>
        <v>9.9438923796000083</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192</v>
      </c>
      <c r="J5" s="14">
        <f t="shared" si="5"/>
        <v>24.070119906000002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201</v>
      </c>
      <c r="J7" s="14">
        <f t="shared" si="5"/>
        <v>175</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18</v>
      </c>
      <c r="J8" s="14">
        <f t="shared" si="5"/>
        <v>42.193312384800002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82</v>
      </c>
      <c r="J9" s="14">
        <f t="shared" si="5"/>
        <v>62.348144675840018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76</v>
      </c>
      <c r="J12" s="14">
        <f t="shared" si="5"/>
        <v>73.125269943919989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150</v>
      </c>
      <c r="J14" s="14">
        <f t="shared" si="5"/>
        <v>213.09527498400001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464</v>
      </c>
      <c r="J15" s="14">
        <f t="shared" si="5"/>
        <v>169.91101828000001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881</v>
      </c>
      <c r="J16" s="14"/>
      <c r="K16" s="55"/>
    </row>
    <row r="17" spans="1:11" x14ac:dyDescent="0.25">
      <c r="A17" s="19" t="s">
        <v>11</v>
      </c>
      <c r="B17" s="47"/>
      <c r="C17" s="20"/>
      <c r="D17" s="47"/>
      <c r="E17" s="50"/>
      <c r="F17" s="23"/>
      <c r="G17" s="24"/>
      <c r="H17" s="26"/>
      <c r="I17" s="26"/>
      <c r="J17" s="43"/>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71</v>
      </c>
      <c r="J18" s="14">
        <f t="shared" si="5"/>
        <v>224.22374919951994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1033</v>
      </c>
      <c r="J20" s="14">
        <f t="shared" si="5"/>
        <v>376.68713937675261</v>
      </c>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63</v>
      </c>
      <c r="J21" s="14">
        <f t="shared" si="5"/>
        <v>1142.9145560414399</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4013</v>
      </c>
      <c r="J22" s="11">
        <f>SUMIFS(J3:J21,J3:J21,"&gt;0")</f>
        <v>3501.5667331049926</v>
      </c>
      <c r="K22" s="3"/>
    </row>
    <row r="23" spans="1:11" x14ac:dyDescent="0.25">
      <c r="B23" s="3"/>
      <c r="C23" s="3"/>
      <c r="D23" s="3"/>
      <c r="E23" s="3"/>
      <c r="F23" s="3"/>
      <c r="G23" s="3"/>
      <c r="H23" s="3"/>
    </row>
  </sheetData>
  <pageMargins left="0.7" right="0.7" top="0.75" bottom="0.75" header="0.3" footer="0.3"/>
  <pageSetup paperSize="9" scale="53"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12420-F7D5-4485-8FBE-1F8844B357AE}">
  <dimension ref="A1:K17"/>
  <sheetViews>
    <sheetView workbookViewId="0">
      <selection activeCell="M9" sqref="M9"/>
    </sheetView>
  </sheetViews>
  <sheetFormatPr defaultRowHeight="15" x14ac:dyDescent="0.25"/>
  <cols>
    <col min="2" max="2" width="17.5703125" customWidth="1"/>
    <col min="3" max="3" width="19.140625" customWidth="1"/>
    <col min="4" max="4" width="21.85546875" customWidth="1"/>
    <col min="5" max="5" width="18.28515625" customWidth="1"/>
    <col min="10" max="10" width="28.42578125" customWidth="1"/>
    <col min="11" max="11" width="28.28515625" customWidth="1"/>
  </cols>
  <sheetData>
    <row r="1" spans="1:11" ht="79.5" thickBot="1" x14ac:dyDescent="0.3">
      <c r="A1" s="94" t="s">
        <v>332</v>
      </c>
      <c r="B1" s="95" t="s">
        <v>333</v>
      </c>
      <c r="C1" s="95" t="s">
        <v>334</v>
      </c>
      <c r="D1" s="95" t="s">
        <v>62</v>
      </c>
      <c r="E1" s="95" t="s">
        <v>335</v>
      </c>
      <c r="F1" s="95" t="s">
        <v>55</v>
      </c>
      <c r="G1" s="95" t="s">
        <v>336</v>
      </c>
      <c r="H1" s="95" t="s">
        <v>337</v>
      </c>
      <c r="I1" s="95" t="s">
        <v>338</v>
      </c>
      <c r="J1" s="95" t="s">
        <v>339</v>
      </c>
      <c r="K1" s="95" t="s">
        <v>63</v>
      </c>
    </row>
    <row r="2" spans="1:11" ht="30.75" thickBot="1" x14ac:dyDescent="0.3">
      <c r="A2" s="96" t="s">
        <v>340</v>
      </c>
      <c r="B2" s="97">
        <v>45238</v>
      </c>
      <c r="C2" s="98" t="s">
        <v>341</v>
      </c>
      <c r="D2" s="98" t="s">
        <v>86</v>
      </c>
      <c r="E2" s="99" t="s">
        <v>342</v>
      </c>
      <c r="F2" s="99">
        <v>2</v>
      </c>
      <c r="G2" s="99">
        <v>1</v>
      </c>
      <c r="H2" s="99">
        <f t="shared" ref="H2:H17" si="0">F2*G2</f>
        <v>2</v>
      </c>
      <c r="I2" s="99"/>
      <c r="J2" s="99" t="s">
        <v>343</v>
      </c>
      <c r="K2" s="99"/>
    </row>
    <row r="3" spans="1:11" ht="90.75" thickBot="1" x14ac:dyDescent="0.3">
      <c r="A3" s="100" t="s">
        <v>344</v>
      </c>
      <c r="B3" s="101">
        <v>44880</v>
      </c>
      <c r="C3" s="100" t="s">
        <v>345</v>
      </c>
      <c r="D3" s="98" t="s">
        <v>86</v>
      </c>
      <c r="E3" s="102" t="s">
        <v>346</v>
      </c>
      <c r="F3" s="103">
        <v>2</v>
      </c>
      <c r="G3" s="102">
        <v>1</v>
      </c>
      <c r="H3" s="102">
        <f t="shared" si="0"/>
        <v>2</v>
      </c>
      <c r="I3" s="104"/>
      <c r="J3" s="105" t="s">
        <v>347</v>
      </c>
      <c r="K3" s="102"/>
    </row>
    <row r="4" spans="1:11" ht="30.75" thickBot="1" x14ac:dyDescent="0.3">
      <c r="A4" s="96" t="s">
        <v>348</v>
      </c>
      <c r="B4" s="97">
        <v>44986</v>
      </c>
      <c r="C4" s="98" t="s">
        <v>349</v>
      </c>
      <c r="D4" s="98" t="s">
        <v>86</v>
      </c>
      <c r="E4" s="99" t="s">
        <v>350</v>
      </c>
      <c r="F4" s="99">
        <v>3</v>
      </c>
      <c r="G4" s="99">
        <v>1</v>
      </c>
      <c r="H4" s="99">
        <f t="shared" si="0"/>
        <v>3</v>
      </c>
      <c r="I4" s="99"/>
      <c r="J4" s="99" t="s">
        <v>351</v>
      </c>
      <c r="K4" s="99"/>
    </row>
    <row r="5" spans="1:11" ht="30.75" thickBot="1" x14ac:dyDescent="0.3">
      <c r="A5" s="96" t="s">
        <v>352</v>
      </c>
      <c r="B5" s="97">
        <v>45028</v>
      </c>
      <c r="C5" s="98" t="s">
        <v>353</v>
      </c>
      <c r="D5" s="98" t="s">
        <v>86</v>
      </c>
      <c r="E5" s="99" t="s">
        <v>354</v>
      </c>
      <c r="F5" s="99">
        <v>1</v>
      </c>
      <c r="G5" s="99">
        <v>1</v>
      </c>
      <c r="H5" s="99">
        <f t="shared" si="0"/>
        <v>1</v>
      </c>
      <c r="I5" s="99"/>
      <c r="J5" s="99" t="s">
        <v>355</v>
      </c>
      <c r="K5" s="99"/>
    </row>
    <row r="6" spans="1:11" ht="60.75" thickBot="1" x14ac:dyDescent="0.3">
      <c r="A6" s="96" t="s">
        <v>356</v>
      </c>
      <c r="B6" s="106">
        <v>45224</v>
      </c>
      <c r="C6" s="98" t="s">
        <v>357</v>
      </c>
      <c r="D6" s="98" t="s">
        <v>86</v>
      </c>
      <c r="E6" s="99" t="s">
        <v>358</v>
      </c>
      <c r="F6" s="99">
        <v>1</v>
      </c>
      <c r="G6" s="99">
        <v>1</v>
      </c>
      <c r="H6" s="99">
        <f t="shared" si="0"/>
        <v>1</v>
      </c>
      <c r="I6" s="99"/>
      <c r="J6" s="99" t="s">
        <v>359</v>
      </c>
      <c r="K6" s="99"/>
    </row>
    <row r="7" spans="1:11" ht="30.75" thickBot="1" x14ac:dyDescent="0.3">
      <c r="A7" s="96" t="s">
        <v>360</v>
      </c>
      <c r="B7" s="106">
        <v>45244</v>
      </c>
      <c r="C7" s="98" t="s">
        <v>361</v>
      </c>
      <c r="D7" s="98" t="s">
        <v>86</v>
      </c>
      <c r="E7" s="99" t="s">
        <v>346</v>
      </c>
      <c r="F7" s="99">
        <v>2</v>
      </c>
      <c r="G7" s="99">
        <v>1</v>
      </c>
      <c r="H7" s="99">
        <f t="shared" si="0"/>
        <v>2</v>
      </c>
      <c r="I7" s="99"/>
      <c r="J7" s="99" t="s">
        <v>362</v>
      </c>
      <c r="K7" s="99"/>
    </row>
    <row r="8" spans="1:11" ht="60.75" thickBot="1" x14ac:dyDescent="0.3">
      <c r="A8" s="96" t="s">
        <v>363</v>
      </c>
      <c r="B8" s="106">
        <v>45273</v>
      </c>
      <c r="C8" s="98" t="s">
        <v>364</v>
      </c>
      <c r="D8" s="98" t="s">
        <v>86</v>
      </c>
      <c r="E8" s="99" t="s">
        <v>358</v>
      </c>
      <c r="F8" s="99">
        <v>2</v>
      </c>
      <c r="G8" s="99">
        <v>2</v>
      </c>
      <c r="H8" s="99">
        <f t="shared" si="0"/>
        <v>4</v>
      </c>
      <c r="I8" s="99"/>
      <c r="J8" s="99" t="s">
        <v>365</v>
      </c>
      <c r="K8" s="99"/>
    </row>
    <row r="9" spans="1:11" ht="30.75" thickBot="1" x14ac:dyDescent="0.3">
      <c r="A9" s="96" t="s">
        <v>366</v>
      </c>
      <c r="B9" s="97">
        <v>45119</v>
      </c>
      <c r="C9" s="98" t="s">
        <v>367</v>
      </c>
      <c r="D9" s="98" t="s">
        <v>115</v>
      </c>
      <c r="E9" s="99" t="s">
        <v>342</v>
      </c>
      <c r="F9" s="99">
        <v>2</v>
      </c>
      <c r="G9" s="99">
        <v>1</v>
      </c>
      <c r="H9" s="99">
        <f t="shared" si="0"/>
        <v>2</v>
      </c>
      <c r="I9" s="99"/>
      <c r="J9" s="99" t="s">
        <v>368</v>
      </c>
      <c r="K9" s="99"/>
    </row>
    <row r="10" spans="1:11" ht="30.75" thickBot="1" x14ac:dyDescent="0.3">
      <c r="A10" s="96" t="s">
        <v>369</v>
      </c>
      <c r="B10" s="97">
        <v>45015</v>
      </c>
      <c r="C10" s="98" t="s">
        <v>370</v>
      </c>
      <c r="D10" s="98" t="s">
        <v>115</v>
      </c>
      <c r="E10" s="99" t="s">
        <v>342</v>
      </c>
      <c r="F10" s="99">
        <v>2</v>
      </c>
      <c r="G10" s="99">
        <v>1</v>
      </c>
      <c r="H10" s="99">
        <f t="shared" si="0"/>
        <v>2</v>
      </c>
      <c r="I10" s="99"/>
      <c r="J10" s="99" t="s">
        <v>371</v>
      </c>
      <c r="K10" s="99"/>
    </row>
    <row r="11" spans="1:11" ht="30.75" thickBot="1" x14ac:dyDescent="0.3">
      <c r="A11" s="96" t="s">
        <v>372</v>
      </c>
      <c r="B11" s="97">
        <v>45015</v>
      </c>
      <c r="C11" s="98" t="s">
        <v>373</v>
      </c>
      <c r="D11" s="98" t="s">
        <v>115</v>
      </c>
      <c r="E11" s="99" t="s">
        <v>342</v>
      </c>
      <c r="F11" s="99">
        <v>2</v>
      </c>
      <c r="G11" s="99">
        <v>1</v>
      </c>
      <c r="H11" s="99">
        <f t="shared" si="0"/>
        <v>2</v>
      </c>
      <c r="I11" s="99"/>
      <c r="J11" s="99" t="s">
        <v>374</v>
      </c>
      <c r="K11" s="99"/>
    </row>
    <row r="12" spans="1:11" ht="30.75" thickBot="1" x14ac:dyDescent="0.3">
      <c r="A12" s="96" t="s">
        <v>375</v>
      </c>
      <c r="B12" s="106">
        <v>45003</v>
      </c>
      <c r="C12" s="98" t="s">
        <v>376</v>
      </c>
      <c r="D12" s="98" t="s">
        <v>115</v>
      </c>
      <c r="E12" s="99" t="s">
        <v>342</v>
      </c>
      <c r="F12" s="99">
        <v>2</v>
      </c>
      <c r="G12" s="99">
        <v>1</v>
      </c>
      <c r="H12" s="99">
        <f t="shared" si="0"/>
        <v>2</v>
      </c>
      <c r="I12" s="99"/>
      <c r="J12" s="99" t="s">
        <v>377</v>
      </c>
      <c r="K12" s="99"/>
    </row>
    <row r="13" spans="1:11" ht="30.75" thickBot="1" x14ac:dyDescent="0.3">
      <c r="A13" s="96" t="s">
        <v>378</v>
      </c>
      <c r="B13" s="106">
        <v>45003</v>
      </c>
      <c r="C13" s="98" t="s">
        <v>379</v>
      </c>
      <c r="D13" s="98" t="s">
        <v>115</v>
      </c>
      <c r="E13" s="99" t="s">
        <v>342</v>
      </c>
      <c r="F13" s="99">
        <v>2</v>
      </c>
      <c r="G13" s="99">
        <v>1</v>
      </c>
      <c r="H13" s="99">
        <f t="shared" si="0"/>
        <v>2</v>
      </c>
      <c r="I13" s="99"/>
      <c r="J13" s="99" t="s">
        <v>380</v>
      </c>
      <c r="K13" s="99"/>
    </row>
    <row r="14" spans="1:11" ht="30.75" thickBot="1" x14ac:dyDescent="0.3">
      <c r="A14" s="96" t="s">
        <v>381</v>
      </c>
      <c r="B14" s="106">
        <v>45003</v>
      </c>
      <c r="C14" s="98" t="s">
        <v>382</v>
      </c>
      <c r="D14" s="98" t="s">
        <v>115</v>
      </c>
      <c r="E14" s="99" t="s">
        <v>342</v>
      </c>
      <c r="F14" s="99">
        <v>2</v>
      </c>
      <c r="G14" s="99">
        <v>1</v>
      </c>
      <c r="H14" s="99">
        <f t="shared" si="0"/>
        <v>2</v>
      </c>
      <c r="I14" s="99"/>
      <c r="J14" s="99" t="s">
        <v>383</v>
      </c>
      <c r="K14" s="99"/>
    </row>
    <row r="15" spans="1:11" ht="30.75" thickBot="1" x14ac:dyDescent="0.3">
      <c r="A15" s="100" t="s">
        <v>384</v>
      </c>
      <c r="B15" s="107">
        <v>45281</v>
      </c>
      <c r="C15" s="100" t="s">
        <v>385</v>
      </c>
      <c r="D15" s="98" t="s">
        <v>115</v>
      </c>
      <c r="E15" s="102" t="s">
        <v>342</v>
      </c>
      <c r="F15" s="108">
        <v>2</v>
      </c>
      <c r="G15" s="108">
        <v>1</v>
      </c>
      <c r="H15" s="99">
        <f t="shared" si="0"/>
        <v>2</v>
      </c>
      <c r="I15" s="102"/>
      <c r="J15" s="102" t="s">
        <v>365</v>
      </c>
      <c r="K15" s="102"/>
    </row>
    <row r="16" spans="1:11" ht="60.75" thickBot="1" x14ac:dyDescent="0.3">
      <c r="A16" s="96" t="s">
        <v>386</v>
      </c>
      <c r="B16" s="106">
        <v>45212</v>
      </c>
      <c r="C16" s="98" t="s">
        <v>387</v>
      </c>
      <c r="D16" s="98" t="s">
        <v>115</v>
      </c>
      <c r="E16" s="99" t="s">
        <v>388</v>
      </c>
      <c r="F16" s="99">
        <v>2</v>
      </c>
      <c r="G16" s="99">
        <v>1</v>
      </c>
      <c r="H16" s="99">
        <f t="shared" si="0"/>
        <v>2</v>
      </c>
      <c r="I16" s="99"/>
      <c r="J16" s="99" t="s">
        <v>389</v>
      </c>
      <c r="K16" s="99"/>
    </row>
    <row r="17" spans="1:11" ht="45.75" thickBot="1" x14ac:dyDescent="0.3">
      <c r="A17" s="96" t="s">
        <v>390</v>
      </c>
      <c r="B17" s="106">
        <v>45275</v>
      </c>
      <c r="C17" s="98" t="s">
        <v>391</v>
      </c>
      <c r="D17" s="98" t="s">
        <v>115</v>
      </c>
      <c r="E17" s="99" t="s">
        <v>346</v>
      </c>
      <c r="F17" s="99">
        <v>1</v>
      </c>
      <c r="G17" s="99">
        <v>1</v>
      </c>
      <c r="H17" s="99">
        <f t="shared" si="0"/>
        <v>1</v>
      </c>
      <c r="I17" s="99"/>
      <c r="J17" s="99" t="s">
        <v>389</v>
      </c>
      <c r="K17" s="9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22"/>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668</v>
      </c>
      <c r="J3" s="14">
        <f>H3-I3</f>
        <v>11.483532257200068</v>
      </c>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32</v>
      </c>
      <c r="J4" s="14">
        <f t="shared" ref="J4:J21" si="5">H4-I4</f>
        <v>13.943892379600008</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192</v>
      </c>
      <c r="J5" s="14">
        <f t="shared" si="5"/>
        <v>24.070119906000002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201</v>
      </c>
      <c r="J7" s="14">
        <f t="shared" si="5"/>
        <v>175</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15</v>
      </c>
      <c r="J8" s="14">
        <f t="shared" si="5"/>
        <v>45.193312384800002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67</v>
      </c>
      <c r="J9" s="14">
        <f t="shared" si="5"/>
        <v>77.348144675840018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139</v>
      </c>
      <c r="J14" s="14">
        <f t="shared" si="5"/>
        <v>224.09527498400001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460</v>
      </c>
      <c r="J15" s="14">
        <f t="shared" si="5"/>
        <v>173.91101828000001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880</v>
      </c>
      <c r="J16" s="14"/>
      <c r="K16" s="55"/>
    </row>
    <row r="17" spans="1:11" x14ac:dyDescent="0.25">
      <c r="A17" s="19" t="s">
        <v>11</v>
      </c>
      <c r="B17" s="47"/>
      <c r="C17" s="20"/>
      <c r="D17" s="47"/>
      <c r="E17" s="50"/>
      <c r="F17" s="23"/>
      <c r="G17" s="24"/>
      <c r="H17" s="26"/>
      <c r="I17" s="26"/>
      <c r="J17" s="43"/>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49</v>
      </c>
      <c r="J18" s="14">
        <f t="shared" si="5"/>
        <v>246.22374919951994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1006</v>
      </c>
      <c r="J20" s="14">
        <f t="shared" si="5"/>
        <v>403.68713937675261</v>
      </c>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50</v>
      </c>
      <c r="J21" s="14">
        <f t="shared" si="5"/>
        <v>1155.9145560414399</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3889</v>
      </c>
      <c r="J22" s="11">
        <f>SUMIFS(J3:J21,J3:J21,"&gt;0")</f>
        <v>3611.0502653621925</v>
      </c>
      <c r="K22" s="3"/>
    </row>
  </sheetData>
  <pageMargins left="0.7" right="0.7" top="0.75" bottom="0.75" header="0.3" footer="0.3"/>
  <pageSetup paperSize="9" scale="53"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23"/>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645</v>
      </c>
      <c r="J3" s="14">
        <f>H3-I3</f>
        <v>34.483532257200068</v>
      </c>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28</v>
      </c>
      <c r="J4" s="14">
        <f t="shared" ref="J4:J21" si="5">H4-I4</f>
        <v>17.943892379600008</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190</v>
      </c>
      <c r="J5" s="14">
        <f t="shared" si="5"/>
        <v>26.070119906000002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201</v>
      </c>
      <c r="J7" s="14">
        <f t="shared" si="5"/>
        <v>175</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13</v>
      </c>
      <c r="J8" s="14">
        <f t="shared" si="5"/>
        <v>47.193312384800002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52</v>
      </c>
      <c r="J9" s="14">
        <f t="shared" si="5"/>
        <v>92.348144675840018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129</v>
      </c>
      <c r="J14" s="14">
        <f t="shared" si="5"/>
        <v>234.09527498400001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441</v>
      </c>
      <c r="J15" s="14">
        <f t="shared" si="5"/>
        <v>192.91101828000001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873</v>
      </c>
      <c r="J16" s="14"/>
      <c r="K16" s="55"/>
    </row>
    <row r="17" spans="1:11" x14ac:dyDescent="0.25">
      <c r="A17" s="19" t="s">
        <v>11</v>
      </c>
      <c r="B17" s="47"/>
      <c r="C17" s="20"/>
      <c r="D17" s="47"/>
      <c r="E17" s="50"/>
      <c r="F17" s="23"/>
      <c r="G17" s="24"/>
      <c r="H17" s="26"/>
      <c r="I17" s="26"/>
      <c r="J17" s="43"/>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42</v>
      </c>
      <c r="J18" s="14">
        <f t="shared" si="5"/>
        <v>253.22374919951994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987</v>
      </c>
      <c r="J20" s="14">
        <f t="shared" si="5"/>
        <v>422.68713937675261</v>
      </c>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2</v>
      </c>
      <c r="J21" s="14">
        <f t="shared" si="5"/>
        <v>1203.9145560414399</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3733</v>
      </c>
      <c r="J22" s="11">
        <f>SUMIFS(J3:J21,J3:J21,"&gt;0")</f>
        <v>3760.0502653621934</v>
      </c>
      <c r="K22" s="3"/>
    </row>
    <row r="23" spans="1:11" x14ac:dyDescent="0.25">
      <c r="B23" s="3"/>
      <c r="C23" s="3"/>
      <c r="D23" s="3"/>
      <c r="E23" s="3"/>
      <c r="F23" s="3"/>
      <c r="G23" s="3"/>
      <c r="H23" s="3"/>
    </row>
  </sheetData>
  <pageMargins left="0.7" right="0.7" top="0.75" bottom="0.75" header="0.3" footer="0.3"/>
  <pageSetup paperSize="9" scale="53"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22"/>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620</v>
      </c>
      <c r="J3" s="14">
        <f>H3-I3</f>
        <v>59.483532257200068</v>
      </c>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23</v>
      </c>
      <c r="J4" s="14">
        <f t="shared" ref="J4:J21" si="5">H4-I4</f>
        <v>22.943892379600008</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191</v>
      </c>
      <c r="J5" s="14">
        <f t="shared" si="5"/>
        <v>25.070119906000002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201</v>
      </c>
      <c r="J7" s="14">
        <f t="shared" si="5"/>
        <v>175</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13</v>
      </c>
      <c r="J8" s="14">
        <f t="shared" si="5"/>
        <v>47.193312384800002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49</v>
      </c>
      <c r="J9" s="14">
        <f t="shared" si="5"/>
        <v>95.348144675840018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127</v>
      </c>
      <c r="J14" s="14">
        <f t="shared" si="5"/>
        <v>236.09527498400001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424</v>
      </c>
      <c r="J15" s="14">
        <f t="shared" si="5"/>
        <v>209.91101828000001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864</v>
      </c>
      <c r="J16" s="14"/>
      <c r="K16" s="55"/>
    </row>
    <row r="17" spans="1:13" x14ac:dyDescent="0.25">
      <c r="A17" s="19" t="s">
        <v>11</v>
      </c>
      <c r="B17" s="47"/>
      <c r="C17" s="20"/>
      <c r="D17" s="47"/>
      <c r="E17" s="50"/>
      <c r="F17" s="23"/>
      <c r="G17" s="24"/>
      <c r="H17" s="26"/>
      <c r="I17" s="26"/>
      <c r="J17" s="43"/>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33</v>
      </c>
      <c r="J18" s="14">
        <f t="shared" si="5"/>
        <v>262.22374919951994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958</v>
      </c>
      <c r="J20" s="14">
        <f t="shared" si="5"/>
        <v>451.68713937675261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2</v>
      </c>
      <c r="J21" s="14">
        <f t="shared" si="5"/>
        <v>1203.9145560414399</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3635</v>
      </c>
      <c r="J22" s="11">
        <f>SUMIFS(J3:J21,J3:J21,"&gt;0")</f>
        <v>3849.0502653621934</v>
      </c>
      <c r="K22" s="3"/>
      <c r="L22" s="3"/>
      <c r="M22" s="3"/>
    </row>
  </sheetData>
  <pageMargins left="0.7" right="0.7" top="0.75" bottom="0.75" header="0.3" footer="0.3"/>
  <pageSetup paperSize="9" scale="53"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22"/>
  <sheetViews>
    <sheetView workbookViewId="0">
      <pane xSplit="1" ySplit="1" topLeftCell="B2" activePane="bottomRight" state="frozen"/>
      <selection pane="topRight" activeCell="B1" sqref="B1"/>
      <selection pane="bottomLeft" activeCell="A2" sqref="A2"/>
      <selection pane="bottomRight"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619</v>
      </c>
      <c r="J3" s="14">
        <f>H3-I3</f>
        <v>60.483532257200068</v>
      </c>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20</v>
      </c>
      <c r="J4" s="14">
        <f t="shared" ref="J4:J21" si="5">H4-I4</f>
        <v>25.943892379600008</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191</v>
      </c>
      <c r="J5" s="14">
        <f t="shared" si="5"/>
        <v>25.070119906000002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213</v>
      </c>
      <c r="J7" s="14">
        <f t="shared" si="5"/>
        <v>163</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1</v>
      </c>
      <c r="J8" s="14">
        <f t="shared" si="5"/>
        <v>59.193312384800002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45</v>
      </c>
      <c r="J9" s="14">
        <f t="shared" si="5"/>
        <v>99.348144675840018</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36</v>
      </c>
      <c r="J11" s="14">
        <f t="shared" si="5"/>
        <v>21.058096856639992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127</v>
      </c>
      <c r="J14" s="14">
        <f t="shared" si="5"/>
        <v>236.09527498400001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391</v>
      </c>
      <c r="J15" s="14">
        <f t="shared" si="5"/>
        <v>242.91101828000001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857</v>
      </c>
      <c r="J16" s="14"/>
      <c r="K16" s="55"/>
    </row>
    <row r="17" spans="1:13" x14ac:dyDescent="0.25">
      <c r="A17" s="19" t="s">
        <v>11</v>
      </c>
      <c r="B17" s="47"/>
      <c r="C17" s="20"/>
      <c r="D17" s="47"/>
      <c r="E17" s="50"/>
      <c r="F17" s="23"/>
      <c r="G17" s="24"/>
      <c r="H17" s="26"/>
      <c r="I17" s="26"/>
      <c r="J17" s="43"/>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32</v>
      </c>
      <c r="J18" s="14">
        <f t="shared" si="5"/>
        <v>263.22374919951994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946</v>
      </c>
      <c r="J20" s="14">
        <f t="shared" si="5"/>
        <v>463.68713937675261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2</v>
      </c>
      <c r="J21" s="14">
        <f t="shared" si="5"/>
        <v>1203.9145560414399</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3574</v>
      </c>
      <c r="J22" s="11">
        <f>SUMIFS(J3:J21,J3:J21,"&gt;0")</f>
        <v>3903.0502653621934</v>
      </c>
      <c r="K22" s="3"/>
      <c r="L22" s="3"/>
      <c r="M22" s="3"/>
    </row>
  </sheetData>
  <pageMargins left="0.7" right="0.7" top="0.75" bottom="0.75" header="0.3" footer="0.3"/>
  <pageSetup paperSize="9" scale="53"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22"/>
  <sheetViews>
    <sheetView workbookViewId="0">
      <selection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30">
        <v>612</v>
      </c>
      <c r="J3" s="14">
        <f>H3-I3</f>
        <v>67.483532257200068</v>
      </c>
      <c r="K3" s="55"/>
    </row>
    <row r="4" spans="1:13"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30">
        <v>18</v>
      </c>
      <c r="J4" s="14">
        <f t="shared" ref="J4:J21" si="5">H4-I4</f>
        <v>27.943892379600008</v>
      </c>
      <c r="K4" s="55"/>
    </row>
    <row r="5" spans="1:13"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30">
        <v>191</v>
      </c>
      <c r="J5" s="14">
        <f t="shared" si="5"/>
        <v>25.070119906000002</v>
      </c>
      <c r="K5" s="55"/>
    </row>
    <row r="6" spans="1:13"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30">
        <v>173</v>
      </c>
      <c r="J7" s="14">
        <f t="shared" si="5"/>
        <v>203</v>
      </c>
      <c r="K7" s="55"/>
    </row>
    <row r="8" spans="1:13"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30">
        <v>1</v>
      </c>
      <c r="J8" s="14">
        <f t="shared" si="5"/>
        <v>59.193312384800002</v>
      </c>
      <c r="K8" s="55"/>
    </row>
    <row r="9" spans="1:13"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30">
        <v>26</v>
      </c>
      <c r="J9" s="14">
        <f t="shared" si="5"/>
        <v>118.34814467584002</v>
      </c>
      <c r="K9" s="55"/>
    </row>
    <row r="10" spans="1:13" x14ac:dyDescent="0.25">
      <c r="A10" s="13" t="s">
        <v>12</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30">
        <v>33</v>
      </c>
      <c r="J11" s="14">
        <f t="shared" si="5"/>
        <v>24.058096856639992</v>
      </c>
      <c r="K11" s="55"/>
    </row>
    <row r="12" spans="1:13"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47"/>
      <c r="C13" s="20"/>
      <c r="D13" s="47"/>
      <c r="E13" s="50"/>
      <c r="F13" s="23"/>
      <c r="G13" s="24"/>
      <c r="H13" s="43"/>
      <c r="I13" s="43"/>
      <c r="J13" s="43"/>
      <c r="K13" s="55"/>
    </row>
    <row r="14" spans="1:13"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30">
        <v>126</v>
      </c>
      <c r="J14" s="14">
        <f t="shared" si="5"/>
        <v>237.09527498400001</v>
      </c>
      <c r="K14" s="55"/>
    </row>
    <row r="15" spans="1:13"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30">
        <v>383</v>
      </c>
      <c r="J15" s="14">
        <f t="shared" si="5"/>
        <v>250.91101828000001</v>
      </c>
      <c r="K15" s="55"/>
    </row>
    <row r="16" spans="1:13"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30">
        <v>842</v>
      </c>
      <c r="J16" s="14"/>
      <c r="K16" s="55"/>
    </row>
    <row r="17" spans="1:13" x14ac:dyDescent="0.25">
      <c r="A17" s="19" t="s">
        <v>11</v>
      </c>
      <c r="B17" s="47"/>
      <c r="C17" s="20"/>
      <c r="D17" s="47"/>
      <c r="E17" s="50"/>
      <c r="F17" s="23"/>
      <c r="G17" s="24"/>
      <c r="H17" s="26"/>
      <c r="I17" s="26"/>
      <c r="J17" s="43"/>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30">
        <v>28</v>
      </c>
      <c r="J18" s="14">
        <f t="shared" si="5"/>
        <v>267.22374919951994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30">
        <v>6</v>
      </c>
      <c r="J19" s="14">
        <f t="shared" si="5"/>
        <v>186.45482810063999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30">
        <v>936</v>
      </c>
      <c r="J20" s="14">
        <f t="shared" si="5"/>
        <v>473.68713937675261</v>
      </c>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2</v>
      </c>
      <c r="J21" s="14">
        <f t="shared" si="5"/>
        <v>1203.9145560414399</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3465</v>
      </c>
      <c r="J22" s="11">
        <f>SUMIFS(J3:J21,J3:J21,"&gt;0")</f>
        <v>3997.0502653621934</v>
      </c>
      <c r="K22" s="55"/>
      <c r="L22" s="3"/>
      <c r="M22" s="3"/>
    </row>
  </sheetData>
  <pageMargins left="0.7" right="0.7" top="0.75" bottom="0.75" header="0.3" footer="0.3"/>
  <pageSetup paperSize="9" scale="53"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3"/>
  <sheetViews>
    <sheetView workbookViewId="0">
      <selection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14">
        <v>732286.17851100001</v>
      </c>
      <c r="C3" s="14">
        <f>SUM(B3/10000)</f>
        <v>73.228617851099997</v>
      </c>
      <c r="D3" s="25">
        <v>166049.90163000001</v>
      </c>
      <c r="E3" s="15">
        <f>SUM(D3/10000)</f>
        <v>16.604990163</v>
      </c>
      <c r="F3" s="29">
        <f t="shared" ref="F3:F12" si="0">SUM(E3/C3)</f>
        <v>0.22675547689243419</v>
      </c>
      <c r="G3" s="17">
        <f>SUM(C3-E3)</f>
        <v>56.623627688100001</v>
      </c>
      <c r="H3" s="14">
        <f>SUM(G3*12)</f>
        <v>679.48353225720007</v>
      </c>
      <c r="I3" s="30">
        <v>600</v>
      </c>
      <c r="J3" s="14">
        <f>H3-I3</f>
        <v>79.483532257200068</v>
      </c>
      <c r="K3" s="55"/>
    </row>
    <row r="4" spans="1:13" x14ac:dyDescent="0.25">
      <c r="A4" s="13" t="s">
        <v>30</v>
      </c>
      <c r="B4" s="14">
        <v>51726.111062000004</v>
      </c>
      <c r="C4" s="14">
        <f t="shared" ref="C4:C21" si="1">SUM(B4/10000)</f>
        <v>5.1726111062000006</v>
      </c>
      <c r="D4" s="14">
        <v>13439.534079000001</v>
      </c>
      <c r="E4" s="15">
        <f t="shared" ref="E4:E21" si="2">SUM(D4/10000)</f>
        <v>1.3439534079000002</v>
      </c>
      <c r="F4" s="16">
        <f t="shared" si="0"/>
        <v>0.25982108074761495</v>
      </c>
      <c r="G4" s="17">
        <f t="shared" ref="G4:G21" si="3">SUM(C4-E4)</f>
        <v>3.8286576983000007</v>
      </c>
      <c r="H4" s="14">
        <f t="shared" ref="H4:H21" si="4">SUM(G4*12)</f>
        <v>45.943892379600008</v>
      </c>
      <c r="I4" s="30">
        <v>13</v>
      </c>
      <c r="J4" s="14">
        <f t="shared" ref="J4:J21" si="5">H4-I4</f>
        <v>32.943892379600008</v>
      </c>
      <c r="K4" s="55"/>
    </row>
    <row r="5" spans="1:13" x14ac:dyDescent="0.25">
      <c r="A5" s="13" t="s">
        <v>20</v>
      </c>
      <c r="B5" s="14">
        <v>256369.71159699999</v>
      </c>
      <c r="C5" s="14">
        <f t="shared" si="1"/>
        <v>25.6369711597</v>
      </c>
      <c r="D5" s="14">
        <v>76311.278342000005</v>
      </c>
      <c r="E5" s="15">
        <f t="shared" si="2"/>
        <v>7.6311278342000008</v>
      </c>
      <c r="F5" s="16">
        <f t="shared" si="0"/>
        <v>0.29766105311986857</v>
      </c>
      <c r="G5" s="17">
        <f t="shared" si="3"/>
        <v>18.005843325499999</v>
      </c>
      <c r="H5" s="14">
        <f t="shared" si="4"/>
        <v>216.070119906</v>
      </c>
      <c r="I5" s="30">
        <v>190</v>
      </c>
      <c r="J5" s="14">
        <f t="shared" si="5"/>
        <v>26.070119906000002</v>
      </c>
      <c r="K5" s="55"/>
    </row>
    <row r="6" spans="1:13" x14ac:dyDescent="0.25">
      <c r="A6" s="13" t="s">
        <v>21</v>
      </c>
      <c r="B6" s="14">
        <v>690510.08741699997</v>
      </c>
      <c r="C6" s="14">
        <f t="shared" si="1"/>
        <v>69.051008741700002</v>
      </c>
      <c r="D6" s="14">
        <v>138112.65684939999</v>
      </c>
      <c r="E6" s="15">
        <f t="shared" si="2"/>
        <v>13.811265684939999</v>
      </c>
      <c r="F6" s="16">
        <f t="shared" si="0"/>
        <v>0.20001540798055503</v>
      </c>
      <c r="G6" s="17">
        <f t="shared" si="3"/>
        <v>55.239743056760005</v>
      </c>
      <c r="H6" s="14">
        <f t="shared" si="4"/>
        <v>662.87691668112006</v>
      </c>
      <c r="I6" s="30">
        <v>9</v>
      </c>
      <c r="J6" s="14">
        <f t="shared" si="5"/>
        <v>653.87691668112006</v>
      </c>
      <c r="K6" s="55"/>
    </row>
    <row r="7" spans="1:13" x14ac:dyDescent="0.25">
      <c r="A7" s="13" t="s">
        <v>22</v>
      </c>
      <c r="B7" s="14">
        <v>169772.135186</v>
      </c>
      <c r="C7" s="14">
        <f t="shared" si="1"/>
        <v>16.977213518599999</v>
      </c>
      <c r="D7" s="14">
        <v>34020.465459200001</v>
      </c>
      <c r="E7" s="15">
        <f>SUM(D7/10000)</f>
        <v>3.4020465459200002</v>
      </c>
      <c r="F7" s="16">
        <f t="shared" si="0"/>
        <v>0.2003889826909914</v>
      </c>
      <c r="G7" s="17">
        <f t="shared" si="3"/>
        <v>13.575166972679998</v>
      </c>
      <c r="H7" s="14">
        <v>376</v>
      </c>
      <c r="I7" s="30">
        <v>184</v>
      </c>
      <c r="J7" s="14">
        <f>H7-I7</f>
        <v>192</v>
      </c>
      <c r="K7" s="55"/>
    </row>
    <row r="8" spans="1:13" x14ac:dyDescent="0.25">
      <c r="A8" s="13" t="s">
        <v>7</v>
      </c>
      <c r="B8" s="14">
        <v>62701.293654000001</v>
      </c>
      <c r="C8" s="14">
        <f t="shared" si="1"/>
        <v>6.2701293653999999</v>
      </c>
      <c r="D8" s="14">
        <v>12540.2</v>
      </c>
      <c r="E8" s="15">
        <f t="shared" si="2"/>
        <v>1.2540200000000001</v>
      </c>
      <c r="F8" s="16">
        <f t="shared" si="0"/>
        <v>0.19999906332395115</v>
      </c>
      <c r="G8" s="17">
        <f t="shared" si="3"/>
        <v>5.0161093654000002</v>
      </c>
      <c r="H8" s="14">
        <f t="shared" si="4"/>
        <v>60.193312384800002</v>
      </c>
      <c r="I8" s="30">
        <v>1</v>
      </c>
      <c r="J8" s="14">
        <f t="shared" si="5"/>
        <v>59.193312384800002</v>
      </c>
      <c r="K8" s="55"/>
    </row>
    <row r="9" spans="1:13" x14ac:dyDescent="0.25">
      <c r="A9" s="13" t="s">
        <v>6</v>
      </c>
      <c r="B9" s="14">
        <v>150362.650704</v>
      </c>
      <c r="C9" s="14">
        <f t="shared" si="1"/>
        <v>15.036265070400001</v>
      </c>
      <c r="D9" s="14">
        <v>30072.530140800001</v>
      </c>
      <c r="E9" s="15">
        <f t="shared" si="2"/>
        <v>3.0072530140800002</v>
      </c>
      <c r="F9" s="16">
        <f t="shared" si="0"/>
        <v>0.2</v>
      </c>
      <c r="G9" s="17">
        <f t="shared" si="3"/>
        <v>12.029012056320001</v>
      </c>
      <c r="H9" s="14">
        <f t="shared" si="4"/>
        <v>144.34814467584002</v>
      </c>
      <c r="I9" s="30">
        <v>5</v>
      </c>
      <c r="J9" s="14">
        <f t="shared" si="5"/>
        <v>139.34814467584002</v>
      </c>
      <c r="K9" s="55"/>
    </row>
    <row r="10" spans="1:13" x14ac:dyDescent="0.25">
      <c r="A10" s="13" t="s">
        <v>12</v>
      </c>
      <c r="B10" s="14">
        <v>134025.431557</v>
      </c>
      <c r="C10" s="14">
        <f t="shared" si="1"/>
        <v>13.4025431557</v>
      </c>
      <c r="D10" s="14">
        <v>26805.086311400002</v>
      </c>
      <c r="E10" s="15">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14">
        <v>59434.235542000002</v>
      </c>
      <c r="C11" s="14">
        <f t="shared" si="1"/>
        <v>5.9434235541999998</v>
      </c>
      <c r="D11" s="18">
        <v>11885.8214948</v>
      </c>
      <c r="E11" s="15">
        <f>SUM(D11/10000)</f>
        <v>1.18858214948</v>
      </c>
      <c r="F11" s="16">
        <f t="shared" si="0"/>
        <v>0.19998274372353497</v>
      </c>
      <c r="G11" s="17">
        <f t="shared" si="3"/>
        <v>4.7548414047199996</v>
      </c>
      <c r="H11" s="14">
        <f t="shared" si="4"/>
        <v>57.058096856639992</v>
      </c>
      <c r="I11" s="30">
        <v>33</v>
      </c>
      <c r="J11" s="14">
        <f t="shared" si="5"/>
        <v>24.058096856639992</v>
      </c>
      <c r="K11" s="55"/>
    </row>
    <row r="12" spans="1:13" x14ac:dyDescent="0.25">
      <c r="A12" s="13" t="s">
        <v>0</v>
      </c>
      <c r="B12" s="14">
        <v>155338.66628599999</v>
      </c>
      <c r="C12" s="14">
        <f t="shared" si="1"/>
        <v>15.533866628599998</v>
      </c>
      <c r="D12" s="14">
        <v>31067.607999400003</v>
      </c>
      <c r="E12" s="15">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20"/>
      <c r="C13" s="20"/>
      <c r="D13" s="21"/>
      <c r="E13" s="22"/>
      <c r="F13" s="23"/>
      <c r="G13" s="24"/>
      <c r="H13" s="43"/>
      <c r="I13" s="43"/>
      <c r="J13" s="43"/>
      <c r="K13" s="55"/>
    </row>
    <row r="14" spans="1:13" x14ac:dyDescent="0.25">
      <c r="A14" s="13" t="s">
        <v>23</v>
      </c>
      <c r="B14" s="14">
        <v>378466.59581999999</v>
      </c>
      <c r="C14" s="14">
        <f t="shared" si="1"/>
        <v>37.846659582000001</v>
      </c>
      <c r="D14" s="25">
        <v>75887.199999999997</v>
      </c>
      <c r="E14" s="15">
        <f t="shared" si="2"/>
        <v>7.5887199999999995</v>
      </c>
      <c r="F14" s="29">
        <f>SUM(E14/C14)</f>
        <v>0.20051227991622331</v>
      </c>
      <c r="G14" s="17">
        <f t="shared" si="3"/>
        <v>30.257939582000002</v>
      </c>
      <c r="H14" s="14">
        <f t="shared" si="4"/>
        <v>363.09527498400001</v>
      </c>
      <c r="I14" s="30">
        <v>126</v>
      </c>
      <c r="J14" s="14">
        <f t="shared" si="5"/>
        <v>237.09527498400001</v>
      </c>
      <c r="K14" s="55"/>
    </row>
    <row r="15" spans="1:13" x14ac:dyDescent="0.25">
      <c r="A15" s="13" t="s">
        <v>24</v>
      </c>
      <c r="B15" s="14">
        <v>807040.54444099998</v>
      </c>
      <c r="C15" s="14">
        <f t="shared" si="1"/>
        <v>80.704054444099995</v>
      </c>
      <c r="D15" s="18">
        <v>278781.36254100001</v>
      </c>
      <c r="E15" s="15">
        <f t="shared" si="2"/>
        <v>27.878136254099999</v>
      </c>
      <c r="F15" s="29">
        <f>SUM(E15/C15)</f>
        <v>0.3454366257820406</v>
      </c>
      <c r="G15" s="17">
        <f t="shared" si="3"/>
        <v>52.825918189999996</v>
      </c>
      <c r="H15" s="14">
        <f t="shared" si="4"/>
        <v>633.91101828000001</v>
      </c>
      <c r="I15" s="30">
        <v>382</v>
      </c>
      <c r="J15" s="14">
        <f t="shared" si="5"/>
        <v>251.91101828000001</v>
      </c>
      <c r="K15" s="55"/>
    </row>
    <row r="16" spans="1:13" x14ac:dyDescent="0.25">
      <c r="A16" s="13" t="s">
        <v>25</v>
      </c>
      <c r="B16" s="14">
        <v>878032.50700999994</v>
      </c>
      <c r="C16" s="14">
        <f t="shared" si="1"/>
        <v>87.803250700999996</v>
      </c>
      <c r="D16" s="14">
        <v>225990.34571599998</v>
      </c>
      <c r="E16" s="15">
        <f t="shared" si="2"/>
        <v>22.599034571599997</v>
      </c>
      <c r="F16" s="29">
        <f>SUM(E16/C16)</f>
        <v>0.25738266398082932</v>
      </c>
      <c r="G16" s="17">
        <f t="shared" si="3"/>
        <v>65.204216129399995</v>
      </c>
      <c r="H16" s="14">
        <f t="shared" si="4"/>
        <v>782.4505935528</v>
      </c>
      <c r="I16" s="30">
        <v>808</v>
      </c>
      <c r="J16" s="14"/>
      <c r="K16" s="55"/>
    </row>
    <row r="17" spans="1:13" x14ac:dyDescent="0.25">
      <c r="A17" s="19" t="s">
        <v>11</v>
      </c>
      <c r="B17" s="20"/>
      <c r="C17" s="20"/>
      <c r="D17" s="21"/>
      <c r="E17" s="22"/>
      <c r="F17" s="23"/>
      <c r="G17" s="24"/>
      <c r="H17" s="26"/>
      <c r="I17" s="26"/>
      <c r="J17" s="43"/>
      <c r="K17" s="55"/>
    </row>
    <row r="18" spans="1:13" x14ac:dyDescent="0.25">
      <c r="A18" s="13" t="s">
        <v>26</v>
      </c>
      <c r="B18" s="14">
        <v>307532.18674899999</v>
      </c>
      <c r="C18" s="14">
        <f t="shared" si="1"/>
        <v>30.753218674899998</v>
      </c>
      <c r="D18" s="25">
        <v>61512.395749399999</v>
      </c>
      <c r="E18" s="15">
        <f t="shared" si="2"/>
        <v>6.15123957494</v>
      </c>
      <c r="F18" s="16">
        <f>SUM(E18/C18)</f>
        <v>0.20001937488125388</v>
      </c>
      <c r="G18" s="17">
        <f t="shared" si="3"/>
        <v>24.601979099959998</v>
      </c>
      <c r="H18" s="14">
        <f t="shared" si="4"/>
        <v>295.22374919951994</v>
      </c>
      <c r="I18" s="30">
        <v>26</v>
      </c>
      <c r="J18" s="14">
        <f t="shared" si="5"/>
        <v>269.22374919951994</v>
      </c>
      <c r="K18" s="55"/>
    </row>
    <row r="19" spans="1:13" x14ac:dyDescent="0.25">
      <c r="A19" s="13" t="s">
        <v>3</v>
      </c>
      <c r="B19" s="14">
        <v>200437.13983599999</v>
      </c>
      <c r="C19" s="14">
        <f t="shared" si="1"/>
        <v>20.0437139836</v>
      </c>
      <c r="D19" s="18">
        <v>40058.116418800004</v>
      </c>
      <c r="E19" s="15">
        <f t="shared" si="2"/>
        <v>4.0058116418800003</v>
      </c>
      <c r="F19" s="16">
        <f>SUM(E19/C19)</f>
        <v>0.19985376189051599</v>
      </c>
      <c r="G19" s="17">
        <f t="shared" si="3"/>
        <v>16.037902341719999</v>
      </c>
      <c r="H19" s="14">
        <f t="shared" si="4"/>
        <v>192.45482810063999</v>
      </c>
      <c r="I19" s="30">
        <v>6</v>
      </c>
      <c r="J19" s="14">
        <f t="shared" si="5"/>
        <v>186.45482810063999</v>
      </c>
      <c r="K19" s="55"/>
    </row>
    <row r="20" spans="1:13" x14ac:dyDescent="0.25">
      <c r="A20" s="13" t="s">
        <v>8</v>
      </c>
      <c r="B20" s="14">
        <v>1676045.3735789999</v>
      </c>
      <c r="C20" s="14">
        <f t="shared" si="1"/>
        <v>167.6045373579</v>
      </c>
      <c r="D20" s="14">
        <v>501306.09076503944</v>
      </c>
      <c r="E20" s="15">
        <f t="shared" si="2"/>
        <v>50.130609076503944</v>
      </c>
      <c r="F20" s="16">
        <f>SUM(E20/C20)</f>
        <v>0.29910054862927643</v>
      </c>
      <c r="G20" s="17">
        <f t="shared" si="3"/>
        <v>117.47392828139606</v>
      </c>
      <c r="H20" s="14">
        <f t="shared" si="4"/>
        <v>1409.6871393767526</v>
      </c>
      <c r="I20" s="30">
        <v>912</v>
      </c>
      <c r="J20" s="14">
        <f t="shared" si="5"/>
        <v>497.68713937675261</v>
      </c>
      <c r="K20" s="55"/>
    </row>
    <row r="21" spans="1:13" x14ac:dyDescent="0.25">
      <c r="A21" s="13" t="s">
        <v>27</v>
      </c>
      <c r="B21" s="14">
        <v>1256295.495254</v>
      </c>
      <c r="C21" s="14">
        <f t="shared" si="1"/>
        <v>125.62954952539999</v>
      </c>
      <c r="D21" s="14">
        <v>251366.69855280002</v>
      </c>
      <c r="E21" s="15">
        <f t="shared" si="2"/>
        <v>25.136669855280001</v>
      </c>
      <c r="F21" s="16">
        <f>SUM(E21/C21)</f>
        <v>0.20008564824311359</v>
      </c>
      <c r="G21" s="17">
        <f t="shared" si="3"/>
        <v>100.49287967011999</v>
      </c>
      <c r="H21" s="14">
        <f t="shared" si="4"/>
        <v>1205.9145560414399</v>
      </c>
      <c r="I21" s="30">
        <v>2</v>
      </c>
      <c r="J21" s="14">
        <f t="shared" si="5"/>
        <v>1203.9145560414399</v>
      </c>
      <c r="K21" s="55"/>
    </row>
    <row r="22" spans="1:13" x14ac:dyDescent="0.25">
      <c r="A22" s="4" t="s">
        <v>4</v>
      </c>
      <c r="B22" s="11">
        <f>SUM(B3:B21)</f>
        <v>7966376.3442050004</v>
      </c>
      <c r="C22" s="27">
        <f>SUM(C3:C21)</f>
        <v>796.63763442049992</v>
      </c>
      <c r="D22" s="11"/>
      <c r="E22" s="27">
        <f>SUM(E3:E21)</f>
        <v>197.52072920490394</v>
      </c>
      <c r="F22" s="11"/>
      <c r="G22" s="27">
        <f>SUM(G3:G21)</f>
        <v>599.11690521559603</v>
      </c>
      <c r="H22" s="11">
        <f>SUM(H3:H21)</f>
        <v>7402.500858914992</v>
      </c>
      <c r="I22" s="11">
        <f>SUM(I3:I21)</f>
        <v>3376</v>
      </c>
      <c r="J22" s="11">
        <f>SUMIFS(J3:J21,J3:J21,"&gt;0")</f>
        <v>4052.0502653621934</v>
      </c>
      <c r="K22" s="55"/>
      <c r="L22" s="3"/>
      <c r="M22" s="3"/>
    </row>
    <row r="23" spans="1:13" x14ac:dyDescent="0.25">
      <c r="K23" s="3"/>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22"/>
  <sheetViews>
    <sheetView workbookViewId="0">
      <selection activeCell="J16" sqref="J16"/>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3"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3" x14ac:dyDescent="0.25">
      <c r="A2" s="5" t="s">
        <v>9</v>
      </c>
      <c r="B2" s="2"/>
      <c r="C2" s="2"/>
      <c r="D2" s="2"/>
      <c r="E2" s="2"/>
      <c r="F2" s="2"/>
      <c r="G2" s="2"/>
      <c r="H2" s="2"/>
      <c r="I2" s="2"/>
      <c r="J2" s="2"/>
      <c r="K2" s="1"/>
      <c r="L2" s="1"/>
      <c r="M2" s="1"/>
    </row>
    <row r="3" spans="1:13" x14ac:dyDescent="0.25">
      <c r="A3" s="12" t="s">
        <v>5</v>
      </c>
      <c r="B3" s="14">
        <v>732286.17851100001</v>
      </c>
      <c r="C3" s="14">
        <f>SUM(B3/10000)</f>
        <v>73.228617851099997</v>
      </c>
      <c r="D3" s="25">
        <v>166049.90163000001</v>
      </c>
      <c r="E3" s="15">
        <f>SUM(D3/10000)</f>
        <v>16.604990163</v>
      </c>
      <c r="F3" s="29">
        <f t="shared" ref="F3:F12" si="0">SUM(E3/C3)</f>
        <v>0.22675547689243419</v>
      </c>
      <c r="G3" s="17">
        <f>SUM(C3-E3)</f>
        <v>56.623627688100001</v>
      </c>
      <c r="H3" s="14">
        <f>SUM(G3*12)</f>
        <v>679.48353225720007</v>
      </c>
      <c r="I3" s="30">
        <v>568</v>
      </c>
      <c r="J3" s="14">
        <f>H3-I3</f>
        <v>111.48353225720007</v>
      </c>
      <c r="K3" s="55"/>
    </row>
    <row r="4" spans="1:13" x14ac:dyDescent="0.25">
      <c r="A4" s="13" t="s">
        <v>30</v>
      </c>
      <c r="B4" s="14">
        <v>51726.111062000004</v>
      </c>
      <c r="C4" s="14">
        <f t="shared" ref="C4:C21" si="1">SUM(B4/10000)</f>
        <v>5.1726111062000006</v>
      </c>
      <c r="D4" s="14">
        <v>13439.534079000001</v>
      </c>
      <c r="E4" s="15">
        <f t="shared" ref="E4:E21" si="2">SUM(D4/10000)</f>
        <v>1.3439534079000002</v>
      </c>
      <c r="F4" s="16">
        <f t="shared" si="0"/>
        <v>0.25982108074761495</v>
      </c>
      <c r="G4" s="17">
        <f t="shared" ref="G4:G21" si="3">SUM(C4-E4)</f>
        <v>3.8286576983000007</v>
      </c>
      <c r="H4" s="14">
        <f t="shared" ref="H4:H21" si="4">SUM(G4*12)</f>
        <v>45.943892379600008</v>
      </c>
      <c r="I4" s="30">
        <v>14</v>
      </c>
      <c r="J4" s="14">
        <f t="shared" ref="J4:J21" si="5">H4-I4</f>
        <v>31.943892379600008</v>
      </c>
      <c r="K4" s="55"/>
    </row>
    <row r="5" spans="1:13" x14ac:dyDescent="0.25">
      <c r="A5" s="13" t="s">
        <v>20</v>
      </c>
      <c r="B5" s="14">
        <v>256369.71159699999</v>
      </c>
      <c r="C5" s="14">
        <f t="shared" si="1"/>
        <v>25.6369711597</v>
      </c>
      <c r="D5" s="14">
        <v>76311.278342000005</v>
      </c>
      <c r="E5" s="15">
        <f t="shared" si="2"/>
        <v>7.6311278342000008</v>
      </c>
      <c r="F5" s="16">
        <f t="shared" si="0"/>
        <v>0.29766105311986857</v>
      </c>
      <c r="G5" s="17">
        <f t="shared" si="3"/>
        <v>18.005843325499999</v>
      </c>
      <c r="H5" s="14">
        <f t="shared" si="4"/>
        <v>216.070119906</v>
      </c>
      <c r="I5" s="30">
        <v>190</v>
      </c>
      <c r="J5" s="14">
        <f t="shared" si="5"/>
        <v>26.070119906000002</v>
      </c>
      <c r="K5" s="55"/>
    </row>
    <row r="6" spans="1:13" x14ac:dyDescent="0.25">
      <c r="A6" s="13" t="s">
        <v>21</v>
      </c>
      <c r="B6" s="14">
        <v>690510.08741699997</v>
      </c>
      <c r="C6" s="14">
        <f t="shared" si="1"/>
        <v>69.051008741700002</v>
      </c>
      <c r="D6" s="14">
        <v>138112.65684939999</v>
      </c>
      <c r="E6" s="15">
        <f t="shared" si="2"/>
        <v>13.811265684939999</v>
      </c>
      <c r="F6" s="16">
        <f t="shared" si="0"/>
        <v>0.20001540798055503</v>
      </c>
      <c r="G6" s="17">
        <f t="shared" si="3"/>
        <v>55.239743056760005</v>
      </c>
      <c r="H6" s="14">
        <f t="shared" si="4"/>
        <v>662.87691668112006</v>
      </c>
      <c r="I6" s="30">
        <v>10</v>
      </c>
      <c r="J6" s="14">
        <f t="shared" si="5"/>
        <v>652.87691668112006</v>
      </c>
      <c r="K6" s="55"/>
    </row>
    <row r="7" spans="1:13" x14ac:dyDescent="0.25">
      <c r="A7" s="13" t="s">
        <v>22</v>
      </c>
      <c r="B7" s="14">
        <v>169772.135186</v>
      </c>
      <c r="C7" s="14">
        <f t="shared" si="1"/>
        <v>16.977213518599999</v>
      </c>
      <c r="D7" s="14">
        <v>34020.465459200001</v>
      </c>
      <c r="E7" s="15">
        <f>SUM(D7/10000)</f>
        <v>3.4020465459200002</v>
      </c>
      <c r="F7" s="16">
        <f t="shared" si="0"/>
        <v>0.2003889826909914</v>
      </c>
      <c r="G7" s="17">
        <f t="shared" si="3"/>
        <v>13.575166972679998</v>
      </c>
      <c r="H7" s="14">
        <v>376</v>
      </c>
      <c r="I7" s="30">
        <v>224</v>
      </c>
      <c r="J7" s="14">
        <f t="shared" si="5"/>
        <v>152</v>
      </c>
      <c r="K7" s="55"/>
    </row>
    <row r="8" spans="1:13" x14ac:dyDescent="0.25">
      <c r="A8" s="13" t="s">
        <v>7</v>
      </c>
      <c r="B8" s="14">
        <v>62701.293654000001</v>
      </c>
      <c r="C8" s="14">
        <f t="shared" si="1"/>
        <v>6.2701293653999999</v>
      </c>
      <c r="D8" s="14">
        <v>12540.2</v>
      </c>
      <c r="E8" s="15">
        <f t="shared" si="2"/>
        <v>1.2540200000000001</v>
      </c>
      <c r="F8" s="16">
        <f t="shared" si="0"/>
        <v>0.19999906332395115</v>
      </c>
      <c r="G8" s="17">
        <f t="shared" si="3"/>
        <v>5.0161093654000002</v>
      </c>
      <c r="H8" s="14">
        <f t="shared" si="4"/>
        <v>60.193312384800002</v>
      </c>
      <c r="I8" s="30">
        <v>1</v>
      </c>
      <c r="J8" s="14">
        <f t="shared" si="5"/>
        <v>59.193312384800002</v>
      </c>
      <c r="K8" s="55"/>
    </row>
    <row r="9" spans="1:13" x14ac:dyDescent="0.25">
      <c r="A9" s="13" t="s">
        <v>6</v>
      </c>
      <c r="B9" s="14">
        <v>150362.650704</v>
      </c>
      <c r="C9" s="14">
        <f t="shared" si="1"/>
        <v>15.036265070400001</v>
      </c>
      <c r="D9" s="14">
        <v>30072.530140800001</v>
      </c>
      <c r="E9" s="15">
        <f t="shared" si="2"/>
        <v>3.0072530140800002</v>
      </c>
      <c r="F9" s="16">
        <f t="shared" si="0"/>
        <v>0.2</v>
      </c>
      <c r="G9" s="17">
        <f t="shared" si="3"/>
        <v>12.029012056320001</v>
      </c>
      <c r="H9" s="14">
        <f t="shared" si="4"/>
        <v>144.34814467584002</v>
      </c>
      <c r="I9" s="30">
        <v>5</v>
      </c>
      <c r="J9" s="14">
        <f t="shared" si="5"/>
        <v>139.34814467584002</v>
      </c>
      <c r="K9" s="55"/>
    </row>
    <row r="10" spans="1:13" x14ac:dyDescent="0.25">
      <c r="A10" s="13" t="s">
        <v>12</v>
      </c>
      <c r="B10" s="14">
        <v>134025.431557</v>
      </c>
      <c r="C10" s="14">
        <f t="shared" si="1"/>
        <v>13.4025431557</v>
      </c>
      <c r="D10" s="14">
        <v>26805.086311400002</v>
      </c>
      <c r="E10" s="15">
        <f t="shared" si="2"/>
        <v>2.6805086311400004</v>
      </c>
      <c r="F10" s="16">
        <f t="shared" si="0"/>
        <v>0.20000000000000004</v>
      </c>
      <c r="G10" s="17">
        <f t="shared" si="3"/>
        <v>10.72203452456</v>
      </c>
      <c r="H10" s="14">
        <f t="shared" si="4"/>
        <v>128.66441429471999</v>
      </c>
      <c r="I10" s="30">
        <v>2</v>
      </c>
      <c r="J10" s="14">
        <f t="shared" si="5"/>
        <v>126.66441429471999</v>
      </c>
      <c r="K10" s="55"/>
    </row>
    <row r="11" spans="1:13" x14ac:dyDescent="0.25">
      <c r="A11" s="13" t="s">
        <v>1</v>
      </c>
      <c r="B11" s="14">
        <v>59434.235542000002</v>
      </c>
      <c r="C11" s="14">
        <f t="shared" si="1"/>
        <v>5.9434235541999998</v>
      </c>
      <c r="D11" s="18">
        <v>11885.8214948</v>
      </c>
      <c r="E11" s="15">
        <f>SUM(D11/10000)</f>
        <v>1.18858214948</v>
      </c>
      <c r="F11" s="16">
        <f t="shared" si="0"/>
        <v>0.19998274372353497</v>
      </c>
      <c r="G11" s="17">
        <f t="shared" si="3"/>
        <v>4.7548414047199996</v>
      </c>
      <c r="H11" s="14">
        <f t="shared" si="4"/>
        <v>57.058096856639992</v>
      </c>
      <c r="I11" s="30">
        <v>31</v>
      </c>
      <c r="J11" s="14">
        <f t="shared" si="5"/>
        <v>26.058096856639992</v>
      </c>
      <c r="K11" s="55"/>
    </row>
    <row r="12" spans="1:13" x14ac:dyDescent="0.25">
      <c r="A12" s="13" t="s">
        <v>0</v>
      </c>
      <c r="B12" s="14">
        <v>155338.66628599999</v>
      </c>
      <c r="C12" s="14">
        <f t="shared" si="1"/>
        <v>15.533866628599998</v>
      </c>
      <c r="D12" s="14">
        <v>31067.607999400003</v>
      </c>
      <c r="E12" s="15">
        <f t="shared" si="2"/>
        <v>3.1067607999400004</v>
      </c>
      <c r="F12" s="16">
        <f t="shared" si="0"/>
        <v>0.19999919364699731</v>
      </c>
      <c r="G12" s="17">
        <f t="shared" si="3"/>
        <v>12.427105828659998</v>
      </c>
      <c r="H12" s="14">
        <f t="shared" si="4"/>
        <v>149.12526994391999</v>
      </c>
      <c r="I12" s="30">
        <v>77</v>
      </c>
      <c r="J12" s="14">
        <f t="shared" si="5"/>
        <v>72.125269943919989</v>
      </c>
      <c r="K12" s="55"/>
    </row>
    <row r="13" spans="1:13" x14ac:dyDescent="0.25">
      <c r="A13" s="19" t="s">
        <v>10</v>
      </c>
      <c r="B13" s="20"/>
      <c r="C13" s="20"/>
      <c r="D13" s="21"/>
      <c r="E13" s="22"/>
      <c r="F13" s="23"/>
      <c r="G13" s="24"/>
      <c r="H13" s="43"/>
      <c r="I13" s="43"/>
      <c r="J13" s="43"/>
      <c r="K13" s="55"/>
    </row>
    <row r="14" spans="1:13" x14ac:dyDescent="0.25">
      <c r="A14" s="13" t="s">
        <v>23</v>
      </c>
      <c r="B14" s="14">
        <v>378466.59581999999</v>
      </c>
      <c r="C14" s="14">
        <f t="shared" si="1"/>
        <v>37.846659582000001</v>
      </c>
      <c r="D14" s="25">
        <v>75887.199999999997</v>
      </c>
      <c r="E14" s="15">
        <f t="shared" si="2"/>
        <v>7.5887199999999995</v>
      </c>
      <c r="F14" s="29">
        <f>SUM(E14/C14)</f>
        <v>0.20051227991622331</v>
      </c>
      <c r="G14" s="17">
        <f t="shared" si="3"/>
        <v>30.257939582000002</v>
      </c>
      <c r="H14" s="14">
        <f t="shared" si="4"/>
        <v>363.09527498400001</v>
      </c>
      <c r="I14" s="30">
        <v>120</v>
      </c>
      <c r="J14" s="14">
        <f t="shared" si="5"/>
        <v>243.09527498400001</v>
      </c>
      <c r="K14" s="55"/>
    </row>
    <row r="15" spans="1:13" x14ac:dyDescent="0.25">
      <c r="A15" s="13" t="s">
        <v>24</v>
      </c>
      <c r="B15" s="14">
        <v>807040.54444099998</v>
      </c>
      <c r="C15" s="14">
        <f t="shared" si="1"/>
        <v>80.704054444099995</v>
      </c>
      <c r="D15" s="18">
        <v>278781.36254100001</v>
      </c>
      <c r="E15" s="15">
        <f t="shared" si="2"/>
        <v>27.878136254099999</v>
      </c>
      <c r="F15" s="29">
        <f>SUM(E15/C15)</f>
        <v>0.3454366257820406</v>
      </c>
      <c r="G15" s="17">
        <f t="shared" si="3"/>
        <v>52.825918189999996</v>
      </c>
      <c r="H15" s="14">
        <f t="shared" si="4"/>
        <v>633.91101828000001</v>
      </c>
      <c r="I15" s="30">
        <v>366</v>
      </c>
      <c r="J15" s="14">
        <f t="shared" si="5"/>
        <v>267.91101828000001</v>
      </c>
      <c r="K15" s="55"/>
    </row>
    <row r="16" spans="1:13" x14ac:dyDescent="0.25">
      <c r="A16" s="13" t="s">
        <v>25</v>
      </c>
      <c r="B16" s="14">
        <v>878032.50700999994</v>
      </c>
      <c r="C16" s="14">
        <f t="shared" si="1"/>
        <v>87.803250700999996</v>
      </c>
      <c r="D16" s="14">
        <v>225990.34571599998</v>
      </c>
      <c r="E16" s="15">
        <f t="shared" si="2"/>
        <v>22.599034571599997</v>
      </c>
      <c r="F16" s="29">
        <f>SUM(E16/C16)</f>
        <v>0.25738266398082932</v>
      </c>
      <c r="G16" s="17">
        <f t="shared" si="3"/>
        <v>65.204216129399995</v>
      </c>
      <c r="H16" s="14">
        <f t="shared" si="4"/>
        <v>782.4505935528</v>
      </c>
      <c r="I16" s="30">
        <v>790</v>
      </c>
      <c r="J16" s="14"/>
      <c r="K16" s="55"/>
    </row>
    <row r="17" spans="1:13" x14ac:dyDescent="0.25">
      <c r="A17" s="19" t="s">
        <v>11</v>
      </c>
      <c r="B17" s="20"/>
      <c r="C17" s="20"/>
      <c r="D17" s="21"/>
      <c r="E17" s="22"/>
      <c r="F17" s="23"/>
      <c r="G17" s="24"/>
      <c r="H17" s="26"/>
      <c r="I17" s="26"/>
      <c r="J17" s="43"/>
      <c r="K17" s="55"/>
    </row>
    <row r="18" spans="1:13" x14ac:dyDescent="0.25">
      <c r="A18" s="13" t="s">
        <v>26</v>
      </c>
      <c r="B18" s="14">
        <v>307532.18674899999</v>
      </c>
      <c r="C18" s="14">
        <f t="shared" si="1"/>
        <v>30.753218674899998</v>
      </c>
      <c r="D18" s="25">
        <v>61512.395749399999</v>
      </c>
      <c r="E18" s="15">
        <f t="shared" si="2"/>
        <v>6.15123957494</v>
      </c>
      <c r="F18" s="16">
        <f>SUM(E18/C18)</f>
        <v>0.20001937488125388</v>
      </c>
      <c r="G18" s="17">
        <f t="shared" si="3"/>
        <v>24.601979099959998</v>
      </c>
      <c r="H18" s="14">
        <f t="shared" si="4"/>
        <v>295.22374919951994</v>
      </c>
      <c r="I18" s="30">
        <v>23</v>
      </c>
      <c r="J18" s="14">
        <f t="shared" si="5"/>
        <v>272.22374919951994</v>
      </c>
      <c r="K18" s="55"/>
    </row>
    <row r="19" spans="1:13" x14ac:dyDescent="0.25">
      <c r="A19" s="13" t="s">
        <v>3</v>
      </c>
      <c r="B19" s="14">
        <v>200437.13983599999</v>
      </c>
      <c r="C19" s="14">
        <f t="shared" si="1"/>
        <v>20.0437139836</v>
      </c>
      <c r="D19" s="18">
        <v>40058.116418800004</v>
      </c>
      <c r="E19" s="15">
        <f t="shared" si="2"/>
        <v>4.0058116418800003</v>
      </c>
      <c r="F19" s="16">
        <f>SUM(E19/C19)</f>
        <v>0.19985376189051599</v>
      </c>
      <c r="G19" s="17">
        <f t="shared" si="3"/>
        <v>16.037902341719999</v>
      </c>
      <c r="H19" s="14">
        <f t="shared" si="4"/>
        <v>192.45482810063999</v>
      </c>
      <c r="I19" s="30">
        <v>6</v>
      </c>
      <c r="J19" s="14">
        <f t="shared" si="5"/>
        <v>186.45482810063999</v>
      </c>
      <c r="K19" s="55"/>
    </row>
    <row r="20" spans="1:13" x14ac:dyDescent="0.25">
      <c r="A20" s="13" t="s">
        <v>8</v>
      </c>
      <c r="B20" s="14">
        <v>1676045.3735789999</v>
      </c>
      <c r="C20" s="14">
        <f t="shared" si="1"/>
        <v>167.6045373579</v>
      </c>
      <c r="D20" s="14">
        <v>501306.09076503944</v>
      </c>
      <c r="E20" s="15">
        <f t="shared" si="2"/>
        <v>50.130609076503944</v>
      </c>
      <c r="F20" s="16">
        <f>SUM(E20/C20)</f>
        <v>0.29910054862927643</v>
      </c>
      <c r="G20" s="17">
        <f t="shared" si="3"/>
        <v>117.47392828139606</v>
      </c>
      <c r="H20" s="14">
        <f t="shared" si="4"/>
        <v>1409.6871393767526</v>
      </c>
      <c r="I20" s="30">
        <v>895</v>
      </c>
      <c r="J20" s="14">
        <f t="shared" si="5"/>
        <v>514.68713937675261</v>
      </c>
      <c r="K20" s="55"/>
    </row>
    <row r="21" spans="1:13" x14ac:dyDescent="0.25">
      <c r="A21" s="13" t="s">
        <v>27</v>
      </c>
      <c r="B21" s="14">
        <v>1256295.495254</v>
      </c>
      <c r="C21" s="14">
        <f t="shared" si="1"/>
        <v>125.62954952539999</v>
      </c>
      <c r="D21" s="14">
        <v>251366.69855280002</v>
      </c>
      <c r="E21" s="15">
        <f t="shared" si="2"/>
        <v>25.136669855280001</v>
      </c>
      <c r="F21" s="16">
        <f>SUM(E21/C21)</f>
        <v>0.20008564824311359</v>
      </c>
      <c r="G21" s="17">
        <f t="shared" si="3"/>
        <v>100.49287967011999</v>
      </c>
      <c r="H21" s="14">
        <f t="shared" si="4"/>
        <v>1205.9145560414399</v>
      </c>
      <c r="I21" s="30">
        <v>2</v>
      </c>
      <c r="J21" s="14">
        <f t="shared" si="5"/>
        <v>1203.9145560414399</v>
      </c>
      <c r="K21" s="55"/>
    </row>
    <row r="22" spans="1:13" x14ac:dyDescent="0.25">
      <c r="A22" s="4" t="s">
        <v>4</v>
      </c>
      <c r="B22" s="11">
        <f>SUM(B3:B21)</f>
        <v>7966376.3442050004</v>
      </c>
      <c r="C22" s="27">
        <f>SUM(C3:C21)</f>
        <v>796.63763442049992</v>
      </c>
      <c r="D22" s="11"/>
      <c r="E22" s="27">
        <f>SUM(E3:E21)</f>
        <v>197.52072920490394</v>
      </c>
      <c r="F22" s="11"/>
      <c r="G22" s="27">
        <f>SUM(G3:G21)</f>
        <v>599.11690521559603</v>
      </c>
      <c r="H22" s="11">
        <f>SUM(H3:H21)</f>
        <v>7402.500858914992</v>
      </c>
      <c r="I22" s="11">
        <f>SUM(I3:I21)</f>
        <v>3324</v>
      </c>
      <c r="J22" s="11">
        <f>SUMIFS(J3:J21,J3:J21,"&gt;0")</f>
        <v>4086.0502653621934</v>
      </c>
      <c r="K22" s="3"/>
      <c r="L22" s="3"/>
      <c r="M22" s="3"/>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22"/>
  <sheetViews>
    <sheetView workbookViewId="0">
      <selection activeCell="K18" sqref="K18"/>
    </sheetView>
  </sheetViews>
  <sheetFormatPr defaultColWidth="8.85546875" defaultRowHeight="15" x14ac:dyDescent="0.25"/>
  <cols>
    <col min="1" max="1" width="28.140625" bestFit="1" customWidth="1"/>
    <col min="2" max="2" width="12.140625" customWidth="1"/>
    <col min="3" max="3" width="10.140625" customWidth="1"/>
    <col min="4" max="4" width="17" customWidth="1"/>
    <col min="5" max="5" width="11.42578125" customWidth="1"/>
    <col min="6" max="7" width="15" customWidth="1"/>
    <col min="8" max="8" width="17.42578125" customWidth="1"/>
    <col min="9" max="9" width="18" customWidth="1"/>
    <col min="10" max="10" width="13.85546875" bestFit="1" customWidth="1"/>
    <col min="11" max="11" width="25" customWidth="1"/>
    <col min="12" max="12" width="5.28515625" customWidth="1"/>
    <col min="13" max="13" width="7.28515625" customWidth="1"/>
  </cols>
  <sheetData>
    <row r="1" spans="1:11" s="1" customFormat="1" ht="109.5" customHeight="1" x14ac:dyDescent="0.25">
      <c r="A1" s="28" t="s">
        <v>2</v>
      </c>
      <c r="B1" s="28" t="s">
        <v>14</v>
      </c>
      <c r="C1" s="28" t="s">
        <v>13</v>
      </c>
      <c r="D1" s="28" t="s">
        <v>31</v>
      </c>
      <c r="E1" s="28" t="s">
        <v>32</v>
      </c>
      <c r="F1" s="28" t="s">
        <v>17</v>
      </c>
      <c r="G1" s="28" t="s">
        <v>18</v>
      </c>
      <c r="H1" s="41" t="s">
        <v>28</v>
      </c>
      <c r="I1" s="56" t="s">
        <v>35</v>
      </c>
      <c r="J1" s="42" t="s">
        <v>29</v>
      </c>
      <c r="K1" s="58"/>
    </row>
    <row r="2" spans="1:11" s="1" customFormat="1" x14ac:dyDescent="0.25">
      <c r="A2" s="5" t="s">
        <v>9</v>
      </c>
      <c r="B2" s="2"/>
      <c r="C2" s="2"/>
      <c r="D2" s="2"/>
      <c r="E2" s="2"/>
      <c r="F2" s="2"/>
      <c r="G2" s="2"/>
      <c r="H2" s="2"/>
      <c r="I2" s="2"/>
      <c r="J2" s="2"/>
    </row>
    <row r="3" spans="1:11" x14ac:dyDescent="0.25">
      <c r="A3" s="12" t="s">
        <v>5</v>
      </c>
      <c r="B3" s="14">
        <v>732286.17851100001</v>
      </c>
      <c r="C3" s="14">
        <f>SUM(B3/10000)</f>
        <v>73.228617851099997</v>
      </c>
      <c r="D3" s="25">
        <v>166049.90163000001</v>
      </c>
      <c r="E3" s="15">
        <f>SUM(D3/10000)</f>
        <v>16.604990163</v>
      </c>
      <c r="F3" s="29">
        <f t="shared" ref="F3:F12" si="0">SUM(E3/C3)</f>
        <v>0.22675547689243419</v>
      </c>
      <c r="G3" s="17">
        <f>SUM(C3-E3)</f>
        <v>56.623627688100001</v>
      </c>
      <c r="H3" s="14">
        <f>SUM(G3*12)</f>
        <v>679.48353225720007</v>
      </c>
      <c r="I3" s="30">
        <v>542</v>
      </c>
      <c r="J3" s="14">
        <f>SUM(H3-I3)</f>
        <v>137.48353225720007</v>
      </c>
      <c r="K3" s="55"/>
    </row>
    <row r="4" spans="1:11" x14ac:dyDescent="0.25">
      <c r="A4" s="13" t="s">
        <v>30</v>
      </c>
      <c r="B4" s="14">
        <v>51726.111062000004</v>
      </c>
      <c r="C4" s="14">
        <f t="shared" ref="C4:C21" si="1">SUM(B4/10000)</f>
        <v>5.1726111062000006</v>
      </c>
      <c r="D4" s="14">
        <v>13439.534079000001</v>
      </c>
      <c r="E4" s="15">
        <f t="shared" ref="E4:E21" si="2">SUM(D4/10000)</f>
        <v>1.3439534079000002</v>
      </c>
      <c r="F4" s="16">
        <f t="shared" si="0"/>
        <v>0.25982108074761495</v>
      </c>
      <c r="G4" s="17">
        <f t="shared" ref="G4:G21" si="3">SUM(C4-E4)</f>
        <v>3.8286576983000007</v>
      </c>
      <c r="H4" s="14">
        <f t="shared" ref="H4:H21" si="4">SUM(G4*12)</f>
        <v>45.943892379600008</v>
      </c>
      <c r="I4" s="30">
        <v>4</v>
      </c>
      <c r="J4" s="14">
        <f t="shared" ref="J4:J21" si="5">SUM(H4-I4)</f>
        <v>41.943892379600008</v>
      </c>
      <c r="K4" s="55"/>
    </row>
    <row r="5" spans="1:11" x14ac:dyDescent="0.25">
      <c r="A5" s="13" t="s">
        <v>20</v>
      </c>
      <c r="B5" s="14">
        <v>256369.71159699999</v>
      </c>
      <c r="C5" s="14">
        <f t="shared" si="1"/>
        <v>25.6369711597</v>
      </c>
      <c r="D5" s="14">
        <v>76311.278342000005</v>
      </c>
      <c r="E5" s="15">
        <f t="shared" si="2"/>
        <v>7.6311278342000008</v>
      </c>
      <c r="F5" s="16">
        <f t="shared" si="0"/>
        <v>0.29766105311986857</v>
      </c>
      <c r="G5" s="17">
        <f t="shared" si="3"/>
        <v>18.005843325499999</v>
      </c>
      <c r="H5" s="14">
        <f t="shared" si="4"/>
        <v>216.070119906</v>
      </c>
      <c r="I5" s="30">
        <v>189</v>
      </c>
      <c r="J5" s="14">
        <f t="shared" si="5"/>
        <v>27.070119906000002</v>
      </c>
      <c r="K5" s="55"/>
    </row>
    <row r="6" spans="1:11" x14ac:dyDescent="0.25">
      <c r="A6" s="13" t="s">
        <v>21</v>
      </c>
      <c r="B6" s="14">
        <v>690510.08741699997</v>
      </c>
      <c r="C6" s="14">
        <f t="shared" si="1"/>
        <v>69.051008741700002</v>
      </c>
      <c r="D6" s="14">
        <v>138112.65684939999</v>
      </c>
      <c r="E6" s="15">
        <f t="shared" si="2"/>
        <v>13.811265684939999</v>
      </c>
      <c r="F6" s="16">
        <f t="shared" si="0"/>
        <v>0.20001540798055503</v>
      </c>
      <c r="G6" s="17">
        <f t="shared" si="3"/>
        <v>55.239743056760005</v>
      </c>
      <c r="H6" s="14">
        <f t="shared" si="4"/>
        <v>662.87691668112006</v>
      </c>
      <c r="I6" s="30">
        <v>10</v>
      </c>
      <c r="J6" s="14">
        <f t="shared" si="5"/>
        <v>652.87691668112006</v>
      </c>
      <c r="K6" s="55"/>
    </row>
    <row r="7" spans="1:11" x14ac:dyDescent="0.25">
      <c r="A7" s="13" t="s">
        <v>22</v>
      </c>
      <c r="B7" s="14">
        <v>169772.135186</v>
      </c>
      <c r="C7" s="14">
        <f t="shared" si="1"/>
        <v>16.977213518599999</v>
      </c>
      <c r="D7" s="14">
        <v>34020.465459200001</v>
      </c>
      <c r="E7" s="15">
        <f>SUM(D7/10000)</f>
        <v>3.4020465459200002</v>
      </c>
      <c r="F7" s="16">
        <f t="shared" si="0"/>
        <v>0.2003889826909914</v>
      </c>
      <c r="G7" s="17">
        <f t="shared" si="3"/>
        <v>13.575166972679998</v>
      </c>
      <c r="H7" s="14">
        <v>376</v>
      </c>
      <c r="I7" s="30">
        <v>166</v>
      </c>
      <c r="J7" s="14">
        <f t="shared" si="5"/>
        <v>210</v>
      </c>
      <c r="K7" s="55"/>
    </row>
    <row r="8" spans="1:11" x14ac:dyDescent="0.25">
      <c r="A8" s="13" t="s">
        <v>7</v>
      </c>
      <c r="B8" s="14">
        <v>62701.293654000001</v>
      </c>
      <c r="C8" s="14">
        <f t="shared" si="1"/>
        <v>6.2701293653999999</v>
      </c>
      <c r="D8" s="14">
        <v>12540.2</v>
      </c>
      <c r="E8" s="15">
        <f t="shared" si="2"/>
        <v>1.2540200000000001</v>
      </c>
      <c r="F8" s="16">
        <f t="shared" si="0"/>
        <v>0.19999906332395115</v>
      </c>
      <c r="G8" s="17">
        <f t="shared" si="3"/>
        <v>5.0161093654000002</v>
      </c>
      <c r="H8" s="14">
        <f t="shared" si="4"/>
        <v>60.193312384800002</v>
      </c>
      <c r="I8" s="30">
        <v>1</v>
      </c>
      <c r="J8" s="14">
        <f t="shared" si="5"/>
        <v>59.193312384800002</v>
      </c>
      <c r="K8" s="55"/>
    </row>
    <row r="9" spans="1:11" x14ac:dyDescent="0.25">
      <c r="A9" s="13" t="s">
        <v>6</v>
      </c>
      <c r="B9" s="14">
        <v>150362.650704</v>
      </c>
      <c r="C9" s="14">
        <f t="shared" si="1"/>
        <v>15.036265070400001</v>
      </c>
      <c r="D9" s="14">
        <v>30072.530140800001</v>
      </c>
      <c r="E9" s="15">
        <f t="shared" si="2"/>
        <v>3.0072530140800002</v>
      </c>
      <c r="F9" s="16">
        <f t="shared" si="0"/>
        <v>0.2</v>
      </c>
      <c r="G9" s="17">
        <f t="shared" si="3"/>
        <v>12.029012056320001</v>
      </c>
      <c r="H9" s="14">
        <f t="shared" si="4"/>
        <v>144.34814467584002</v>
      </c>
      <c r="I9" s="30">
        <v>5</v>
      </c>
      <c r="J9" s="14">
        <f t="shared" si="5"/>
        <v>139.34814467584002</v>
      </c>
      <c r="K9" s="55"/>
    </row>
    <row r="10" spans="1:11" x14ac:dyDescent="0.25">
      <c r="A10" s="13" t="s">
        <v>12</v>
      </c>
      <c r="B10" s="14">
        <v>134025.431557</v>
      </c>
      <c r="C10" s="14">
        <f t="shared" si="1"/>
        <v>13.4025431557</v>
      </c>
      <c r="D10" s="14">
        <v>26805.086311400002</v>
      </c>
      <c r="E10" s="15">
        <f t="shared" si="2"/>
        <v>2.6805086311400004</v>
      </c>
      <c r="F10" s="16">
        <f t="shared" si="0"/>
        <v>0.20000000000000004</v>
      </c>
      <c r="G10" s="17">
        <f t="shared" si="3"/>
        <v>10.72203452456</v>
      </c>
      <c r="H10" s="14">
        <f t="shared" si="4"/>
        <v>128.66441429471999</v>
      </c>
      <c r="I10" s="30">
        <v>2</v>
      </c>
      <c r="J10" s="14">
        <f t="shared" si="5"/>
        <v>126.66441429471999</v>
      </c>
      <c r="K10" s="55"/>
    </row>
    <row r="11" spans="1:11" x14ac:dyDescent="0.25">
      <c r="A11" s="13" t="s">
        <v>1</v>
      </c>
      <c r="B11" s="14">
        <v>59434.235542000002</v>
      </c>
      <c r="C11" s="14">
        <f t="shared" si="1"/>
        <v>5.9434235541999998</v>
      </c>
      <c r="D11" s="18">
        <v>11885.8214948</v>
      </c>
      <c r="E11" s="15">
        <f>SUM(D11/10000)</f>
        <v>1.18858214948</v>
      </c>
      <c r="F11" s="16">
        <f t="shared" si="0"/>
        <v>0.19998274372353497</v>
      </c>
      <c r="G11" s="17">
        <f t="shared" si="3"/>
        <v>4.7548414047199996</v>
      </c>
      <c r="H11" s="14">
        <f t="shared" si="4"/>
        <v>57.058096856639992</v>
      </c>
      <c r="I11" s="30">
        <v>31</v>
      </c>
      <c r="J11" s="14">
        <f t="shared" si="5"/>
        <v>26.058096856639992</v>
      </c>
      <c r="K11" s="55"/>
    </row>
    <row r="12" spans="1:11" x14ac:dyDescent="0.25">
      <c r="A12" s="13" t="s">
        <v>0</v>
      </c>
      <c r="B12" s="14">
        <v>155338.66628599999</v>
      </c>
      <c r="C12" s="14">
        <f t="shared" si="1"/>
        <v>15.533866628599998</v>
      </c>
      <c r="D12" s="14">
        <v>31067.607999400003</v>
      </c>
      <c r="E12" s="15">
        <f t="shared" si="2"/>
        <v>3.1067607999400004</v>
      </c>
      <c r="F12" s="16">
        <f t="shared" si="0"/>
        <v>0.19999919364699731</v>
      </c>
      <c r="G12" s="17">
        <f t="shared" si="3"/>
        <v>12.427105828659998</v>
      </c>
      <c r="H12" s="14">
        <f t="shared" si="4"/>
        <v>149.12526994391999</v>
      </c>
      <c r="I12" s="30">
        <v>77</v>
      </c>
      <c r="J12" s="14">
        <f t="shared" si="5"/>
        <v>72.125269943919989</v>
      </c>
      <c r="K12" s="55"/>
    </row>
    <row r="13" spans="1:11" x14ac:dyDescent="0.25">
      <c r="A13" s="19" t="s">
        <v>10</v>
      </c>
      <c r="B13" s="20"/>
      <c r="C13" s="20"/>
      <c r="D13" s="21"/>
      <c r="E13" s="22"/>
      <c r="F13" s="23"/>
      <c r="G13" s="24"/>
      <c r="H13" s="43"/>
      <c r="I13" s="43"/>
      <c r="J13" s="21"/>
      <c r="K13" s="55"/>
    </row>
    <row r="14" spans="1:11" x14ac:dyDescent="0.25">
      <c r="A14" s="13" t="s">
        <v>23</v>
      </c>
      <c r="B14" s="14">
        <v>378466.59581999999</v>
      </c>
      <c r="C14" s="14">
        <f t="shared" si="1"/>
        <v>37.846659582000001</v>
      </c>
      <c r="D14" s="25">
        <v>75887.199999999997</v>
      </c>
      <c r="E14" s="15">
        <f t="shared" si="2"/>
        <v>7.5887199999999995</v>
      </c>
      <c r="F14" s="29">
        <f>SUM(E14/C14)</f>
        <v>0.20051227991622331</v>
      </c>
      <c r="G14" s="17">
        <f t="shared" si="3"/>
        <v>30.257939582000002</v>
      </c>
      <c r="H14" s="14">
        <f t="shared" si="4"/>
        <v>363.09527498400001</v>
      </c>
      <c r="I14" s="30">
        <v>111</v>
      </c>
      <c r="J14" s="14">
        <f t="shared" si="5"/>
        <v>252.09527498400001</v>
      </c>
      <c r="K14" s="55"/>
    </row>
    <row r="15" spans="1:11" x14ac:dyDescent="0.25">
      <c r="A15" s="13" t="s">
        <v>24</v>
      </c>
      <c r="B15" s="14">
        <v>807040.54444099998</v>
      </c>
      <c r="C15" s="14">
        <f t="shared" si="1"/>
        <v>80.704054444099995</v>
      </c>
      <c r="D15" s="18">
        <v>278781.36254100001</v>
      </c>
      <c r="E15" s="15">
        <f t="shared" si="2"/>
        <v>27.878136254099999</v>
      </c>
      <c r="F15" s="29">
        <f>SUM(E15/C15)</f>
        <v>0.3454366257820406</v>
      </c>
      <c r="G15" s="17">
        <f t="shared" si="3"/>
        <v>52.825918189999996</v>
      </c>
      <c r="H15" s="14">
        <f t="shared" si="4"/>
        <v>633.91101828000001</v>
      </c>
      <c r="I15" s="30">
        <v>353</v>
      </c>
      <c r="J15" s="14">
        <f t="shared" si="5"/>
        <v>280.91101828000001</v>
      </c>
      <c r="K15" s="55"/>
    </row>
    <row r="16" spans="1:11" x14ac:dyDescent="0.25">
      <c r="A16" s="13" t="s">
        <v>25</v>
      </c>
      <c r="B16" s="14">
        <v>878032.50700999994</v>
      </c>
      <c r="C16" s="14">
        <f t="shared" si="1"/>
        <v>87.803250700999996</v>
      </c>
      <c r="D16" s="14">
        <v>225990.34571599998</v>
      </c>
      <c r="E16" s="15">
        <f t="shared" si="2"/>
        <v>22.599034571599997</v>
      </c>
      <c r="F16" s="29">
        <f>SUM(E16/C16)</f>
        <v>0.25738266398082932</v>
      </c>
      <c r="G16" s="17">
        <f t="shared" si="3"/>
        <v>65.204216129399995</v>
      </c>
      <c r="H16" s="14">
        <f t="shared" si="4"/>
        <v>782.4505935528</v>
      </c>
      <c r="I16" s="30">
        <v>752</v>
      </c>
      <c r="J16" s="14">
        <f t="shared" si="5"/>
        <v>30.450593552800001</v>
      </c>
      <c r="K16" s="55"/>
    </row>
    <row r="17" spans="1:11" x14ac:dyDescent="0.25">
      <c r="A17" s="19" t="s">
        <v>11</v>
      </c>
      <c r="B17" s="20"/>
      <c r="C17" s="20"/>
      <c r="D17" s="21"/>
      <c r="E17" s="22"/>
      <c r="F17" s="23"/>
      <c r="G17" s="24"/>
      <c r="H17" s="26"/>
      <c r="I17" s="26"/>
      <c r="J17" s="44"/>
      <c r="K17" s="55"/>
    </row>
    <row r="18" spans="1:11" x14ac:dyDescent="0.25">
      <c r="A18" s="13" t="s">
        <v>26</v>
      </c>
      <c r="B18" s="14">
        <v>307532.18674899999</v>
      </c>
      <c r="C18" s="14">
        <f t="shared" si="1"/>
        <v>30.753218674899998</v>
      </c>
      <c r="D18" s="25">
        <v>61512.395749399999</v>
      </c>
      <c r="E18" s="15">
        <f t="shared" si="2"/>
        <v>6.15123957494</v>
      </c>
      <c r="F18" s="16">
        <f>SUM(E18/C18)</f>
        <v>0.20001937488125388</v>
      </c>
      <c r="G18" s="17">
        <f t="shared" si="3"/>
        <v>24.601979099959998</v>
      </c>
      <c r="H18" s="14">
        <f t="shared" si="4"/>
        <v>295.22374919951994</v>
      </c>
      <c r="I18" s="30">
        <v>16</v>
      </c>
      <c r="J18" s="14">
        <f t="shared" si="5"/>
        <v>279.22374919951994</v>
      </c>
      <c r="K18" s="55"/>
    </row>
    <row r="19" spans="1:11" x14ac:dyDescent="0.25">
      <c r="A19" s="13" t="s">
        <v>3</v>
      </c>
      <c r="B19" s="14">
        <v>200437.13983599999</v>
      </c>
      <c r="C19" s="14">
        <f t="shared" si="1"/>
        <v>20.0437139836</v>
      </c>
      <c r="D19" s="18">
        <v>40058.116418800004</v>
      </c>
      <c r="E19" s="15">
        <f t="shared" si="2"/>
        <v>4.0058116418800003</v>
      </c>
      <c r="F19" s="16">
        <f>SUM(E19/C19)</f>
        <v>0.19985376189051599</v>
      </c>
      <c r="G19" s="17">
        <f t="shared" si="3"/>
        <v>16.037902341719999</v>
      </c>
      <c r="H19" s="14">
        <f t="shared" si="4"/>
        <v>192.45482810063999</v>
      </c>
      <c r="I19" s="30">
        <v>5</v>
      </c>
      <c r="J19" s="14">
        <f t="shared" si="5"/>
        <v>187.45482810063999</v>
      </c>
      <c r="K19" s="55"/>
    </row>
    <row r="20" spans="1:11" x14ac:dyDescent="0.25">
      <c r="A20" s="13" t="s">
        <v>8</v>
      </c>
      <c r="B20" s="14">
        <v>1676045.3735789999</v>
      </c>
      <c r="C20" s="14">
        <f t="shared" si="1"/>
        <v>167.6045373579</v>
      </c>
      <c r="D20" s="14">
        <v>501306.09076503944</v>
      </c>
      <c r="E20" s="15">
        <f t="shared" si="2"/>
        <v>50.130609076503944</v>
      </c>
      <c r="F20" s="16">
        <f>SUM(E20/C20)</f>
        <v>0.29910054862927643</v>
      </c>
      <c r="G20" s="17">
        <f t="shared" si="3"/>
        <v>117.47392828139606</v>
      </c>
      <c r="H20" s="14">
        <f t="shared" si="4"/>
        <v>1409.6871393767526</v>
      </c>
      <c r="I20" s="30">
        <v>878</v>
      </c>
      <c r="J20" s="14">
        <f t="shared" si="5"/>
        <v>531.68713937675261</v>
      </c>
      <c r="K20" s="55"/>
    </row>
    <row r="21" spans="1:11" x14ac:dyDescent="0.25">
      <c r="A21" s="13" t="s">
        <v>27</v>
      </c>
      <c r="B21" s="14">
        <v>1256295.495254</v>
      </c>
      <c r="C21" s="14">
        <f t="shared" si="1"/>
        <v>125.62954952539999</v>
      </c>
      <c r="D21" s="14">
        <v>251366.69855280002</v>
      </c>
      <c r="E21" s="15">
        <f t="shared" si="2"/>
        <v>25.136669855280001</v>
      </c>
      <c r="F21" s="16">
        <f>SUM(E21/C21)</f>
        <v>0.20008564824311359</v>
      </c>
      <c r="G21" s="17">
        <f t="shared" si="3"/>
        <v>100.49287967011999</v>
      </c>
      <c r="H21" s="14">
        <f t="shared" si="4"/>
        <v>1205.9145560414399</v>
      </c>
      <c r="I21" s="30">
        <v>2</v>
      </c>
      <c r="J21" s="14">
        <f t="shared" si="5"/>
        <v>1203.9145560414399</v>
      </c>
      <c r="K21" s="55"/>
    </row>
    <row r="22" spans="1:11" s="3" customFormat="1" x14ac:dyDescent="0.25">
      <c r="A22" s="4" t="s">
        <v>4</v>
      </c>
      <c r="B22" s="11">
        <f>SUM(B3:B21)</f>
        <v>7966376.3442050004</v>
      </c>
      <c r="C22" s="27">
        <f>SUM(C3:C21)</f>
        <v>796.63763442049992</v>
      </c>
      <c r="D22" s="11"/>
      <c r="E22" s="27">
        <f>SUM(E3:E21)</f>
        <v>197.52072920490394</v>
      </c>
      <c r="F22" s="11"/>
      <c r="G22" s="27">
        <f>SUM(G3:G21)</f>
        <v>599.11690521559603</v>
      </c>
      <c r="H22" s="11">
        <f>SUM(H3:H21)</f>
        <v>7402.500858914992</v>
      </c>
      <c r="I22" s="11">
        <f>SUM(I3:I21)</f>
        <v>3144</v>
      </c>
      <c r="J22" s="11">
        <f>SUM(J3:J21)</f>
        <v>4258.5008589149929</v>
      </c>
    </row>
  </sheetData>
  <pageMargins left="0.7" right="0.7" top="0.75" bottom="0.75" header="0.3" footer="0.3"/>
  <pageSetup paperSize="8"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24"/>
  <sheetViews>
    <sheetView workbookViewId="0">
      <selection activeCell="J3" sqref="J3:J21"/>
    </sheetView>
  </sheetViews>
  <sheetFormatPr defaultColWidth="8.85546875" defaultRowHeight="15" x14ac:dyDescent="0.25"/>
  <cols>
    <col min="1" max="1" width="29" customWidth="1"/>
    <col min="2" max="2" width="16.42578125" customWidth="1"/>
    <col min="3" max="3" width="12.85546875" customWidth="1"/>
    <col min="4" max="4" width="26.140625" customWidth="1"/>
    <col min="5" max="5" width="18.140625" customWidth="1"/>
    <col min="6" max="6" width="17" customWidth="1"/>
    <col min="7" max="7" width="15.42578125" customWidth="1"/>
    <col min="8" max="8" width="16.28515625" customWidth="1"/>
    <col min="9" max="9" width="17.140625" customWidth="1"/>
    <col min="10" max="10" width="19.7109375" customWidth="1"/>
    <col min="11" max="11" width="25" customWidth="1"/>
  </cols>
  <sheetData>
    <row r="1" spans="1:11" ht="92.25" customHeight="1" x14ac:dyDescent="0.25">
      <c r="A1" s="31" t="s">
        <v>2</v>
      </c>
      <c r="B1" s="31" t="s">
        <v>14</v>
      </c>
      <c r="C1" s="31" t="s">
        <v>13</v>
      </c>
      <c r="D1" s="31" t="s">
        <v>15</v>
      </c>
      <c r="E1" s="31" t="s">
        <v>16</v>
      </c>
      <c r="F1" s="31" t="s">
        <v>17</v>
      </c>
      <c r="G1" s="31" t="s">
        <v>18</v>
      </c>
      <c r="H1" s="31" t="s">
        <v>28</v>
      </c>
      <c r="I1" s="56" t="s">
        <v>35</v>
      </c>
      <c r="J1" s="32" t="s">
        <v>29</v>
      </c>
      <c r="K1" s="58"/>
    </row>
    <row r="2" spans="1:11" ht="16.5" customHeight="1" x14ac:dyDescent="0.25">
      <c r="A2" s="5" t="s">
        <v>9</v>
      </c>
      <c r="B2" s="2"/>
      <c r="C2" s="2"/>
      <c r="D2" s="2"/>
      <c r="E2" s="2"/>
      <c r="F2" s="2"/>
      <c r="G2" s="2"/>
      <c r="H2" s="2"/>
      <c r="I2" s="2"/>
      <c r="J2" s="2"/>
      <c r="K2" s="1"/>
    </row>
    <row r="3" spans="1:11" x14ac:dyDescent="0.25">
      <c r="A3" s="12" t="s">
        <v>5</v>
      </c>
      <c r="B3" s="33">
        <v>732286.17851100001</v>
      </c>
      <c r="C3" s="33">
        <f>SUM(B3/10000)</f>
        <v>73.228617851099997</v>
      </c>
      <c r="D3" s="34">
        <v>166049.90163000001</v>
      </c>
      <c r="E3" s="35">
        <f>SUM(D3/10000)</f>
        <v>16.604990163</v>
      </c>
      <c r="F3" s="36">
        <f t="shared" ref="F3:F12" si="0">SUM(E3/C3)</f>
        <v>0.22675547689243419</v>
      </c>
      <c r="G3" s="37">
        <f>SUM(C3-E3)</f>
        <v>56.623627688100001</v>
      </c>
      <c r="H3" s="33">
        <f>SUM(G3*12)</f>
        <v>679.48353225720007</v>
      </c>
      <c r="I3" s="38">
        <v>641</v>
      </c>
      <c r="J3" s="33">
        <f t="shared" ref="J3:J12" si="1">SUM(H3-I3)</f>
        <v>38.483532257200068</v>
      </c>
      <c r="K3" s="55"/>
    </row>
    <row r="4" spans="1:11" x14ac:dyDescent="0.25">
      <c r="A4" s="13" t="s">
        <v>19</v>
      </c>
      <c r="B4" s="14">
        <v>51726.111062000004</v>
      </c>
      <c r="C4" s="14">
        <f t="shared" ref="C4:C21" si="2">SUM(B4/10000)</f>
        <v>5.1726111062000006</v>
      </c>
      <c r="D4" s="14">
        <v>13439.534079000001</v>
      </c>
      <c r="E4" s="15">
        <f t="shared" ref="E4:E21" si="3">SUM(D4/10000)</f>
        <v>1.3439534079000002</v>
      </c>
      <c r="F4" s="16">
        <f t="shared" si="0"/>
        <v>0.25982108074761495</v>
      </c>
      <c r="G4" s="17">
        <f t="shared" ref="G4:G21" si="4">SUM(C4-E4)</f>
        <v>3.8286576983000007</v>
      </c>
      <c r="H4" s="14">
        <f t="shared" ref="H4:H21" si="5">SUM(G4*12)</f>
        <v>45.943892379600008</v>
      </c>
      <c r="I4" s="30">
        <v>3</v>
      </c>
      <c r="J4" s="33">
        <f t="shared" si="1"/>
        <v>42.943892379600008</v>
      </c>
      <c r="K4" s="55"/>
    </row>
    <row r="5" spans="1:11" x14ac:dyDescent="0.25">
      <c r="A5" s="13" t="s">
        <v>20</v>
      </c>
      <c r="B5" s="14">
        <v>256369.71159699999</v>
      </c>
      <c r="C5" s="14">
        <f t="shared" si="2"/>
        <v>25.6369711597</v>
      </c>
      <c r="D5" s="14">
        <v>76311.278342000005</v>
      </c>
      <c r="E5" s="15">
        <f t="shared" si="3"/>
        <v>7.6311278342000008</v>
      </c>
      <c r="F5" s="16">
        <f t="shared" si="0"/>
        <v>0.29766105311986857</v>
      </c>
      <c r="G5" s="17">
        <f t="shared" si="4"/>
        <v>18.005843325499999</v>
      </c>
      <c r="H5" s="14">
        <f t="shared" si="5"/>
        <v>216.070119906</v>
      </c>
      <c r="I5" s="30">
        <v>190</v>
      </c>
      <c r="J5" s="33">
        <f t="shared" si="1"/>
        <v>26.070119906000002</v>
      </c>
      <c r="K5" s="55"/>
    </row>
    <row r="6" spans="1:11" x14ac:dyDescent="0.25">
      <c r="A6" s="13" t="s">
        <v>21</v>
      </c>
      <c r="B6" s="14">
        <v>690510.08741699997</v>
      </c>
      <c r="C6" s="14">
        <f t="shared" si="2"/>
        <v>69.051008741700002</v>
      </c>
      <c r="D6" s="14">
        <v>138112.65684939999</v>
      </c>
      <c r="E6" s="15">
        <f t="shared" si="3"/>
        <v>13.811265684939999</v>
      </c>
      <c r="F6" s="16">
        <f t="shared" si="0"/>
        <v>0.20001540798055503</v>
      </c>
      <c r="G6" s="17">
        <f t="shared" si="4"/>
        <v>55.239743056760005</v>
      </c>
      <c r="H6" s="14">
        <f t="shared" si="5"/>
        <v>662.87691668112006</v>
      </c>
      <c r="I6" s="30">
        <v>10</v>
      </c>
      <c r="J6" s="33">
        <f>SUM(H6-I6)</f>
        <v>652.87691668112006</v>
      </c>
      <c r="K6" s="55"/>
    </row>
    <row r="7" spans="1:11" x14ac:dyDescent="0.25">
      <c r="A7" s="13" t="s">
        <v>22</v>
      </c>
      <c r="B7" s="14">
        <v>169772.135186</v>
      </c>
      <c r="C7" s="14">
        <f t="shared" si="2"/>
        <v>16.977213518599999</v>
      </c>
      <c r="D7" s="14">
        <v>34020.465459200001</v>
      </c>
      <c r="E7" s="15">
        <f t="shared" si="3"/>
        <v>3.4020465459200002</v>
      </c>
      <c r="F7" s="16">
        <f t="shared" si="0"/>
        <v>0.2003889826909914</v>
      </c>
      <c r="G7" s="17">
        <f t="shared" si="4"/>
        <v>13.575166972679998</v>
      </c>
      <c r="H7" s="14">
        <f t="shared" si="5"/>
        <v>162.90200367215999</v>
      </c>
      <c r="I7" s="30">
        <v>97</v>
      </c>
      <c r="J7" s="33">
        <f t="shared" si="1"/>
        <v>65.902003672159992</v>
      </c>
      <c r="K7" s="55"/>
    </row>
    <row r="8" spans="1:11" x14ac:dyDescent="0.25">
      <c r="A8" s="13" t="s">
        <v>7</v>
      </c>
      <c r="B8" s="14">
        <v>62701.293654000001</v>
      </c>
      <c r="C8" s="14">
        <f t="shared" si="2"/>
        <v>6.2701293653999999</v>
      </c>
      <c r="D8" s="14">
        <v>12540.2</v>
      </c>
      <c r="E8" s="15">
        <f t="shared" si="3"/>
        <v>1.2540200000000001</v>
      </c>
      <c r="F8" s="16">
        <f t="shared" si="0"/>
        <v>0.19999906332395115</v>
      </c>
      <c r="G8" s="17">
        <f t="shared" si="4"/>
        <v>5.0161093654000002</v>
      </c>
      <c r="H8" s="14">
        <f t="shared" si="5"/>
        <v>60.193312384800002</v>
      </c>
      <c r="I8" s="30">
        <v>1</v>
      </c>
      <c r="J8" s="33">
        <f t="shared" si="1"/>
        <v>59.193312384800002</v>
      </c>
      <c r="K8" s="55"/>
    </row>
    <row r="9" spans="1:11" x14ac:dyDescent="0.25">
      <c r="A9" s="13" t="s">
        <v>6</v>
      </c>
      <c r="B9" s="14">
        <v>150362.650704</v>
      </c>
      <c r="C9" s="14">
        <f t="shared" si="2"/>
        <v>15.036265070400001</v>
      </c>
      <c r="D9" s="14">
        <v>30072.530140800001</v>
      </c>
      <c r="E9" s="15">
        <f t="shared" si="3"/>
        <v>3.0072530140800002</v>
      </c>
      <c r="F9" s="16">
        <f t="shared" si="0"/>
        <v>0.2</v>
      </c>
      <c r="G9" s="17">
        <f t="shared" si="4"/>
        <v>12.029012056320001</v>
      </c>
      <c r="H9" s="14">
        <f t="shared" si="5"/>
        <v>144.34814467584002</v>
      </c>
      <c r="I9" s="30">
        <v>2</v>
      </c>
      <c r="J9" s="33">
        <f t="shared" si="1"/>
        <v>142.34814467584002</v>
      </c>
      <c r="K9" s="55"/>
    </row>
    <row r="10" spans="1:11" x14ac:dyDescent="0.25">
      <c r="A10" s="13" t="s">
        <v>12</v>
      </c>
      <c r="B10" s="14">
        <v>134025.431557</v>
      </c>
      <c r="C10" s="14">
        <f t="shared" si="2"/>
        <v>13.4025431557</v>
      </c>
      <c r="D10" s="14">
        <v>26805.086311400002</v>
      </c>
      <c r="E10" s="15">
        <f t="shared" si="3"/>
        <v>2.6805086311400004</v>
      </c>
      <c r="F10" s="16">
        <f t="shared" si="0"/>
        <v>0.20000000000000004</v>
      </c>
      <c r="G10" s="17">
        <f t="shared" si="4"/>
        <v>10.72203452456</v>
      </c>
      <c r="H10" s="14">
        <f t="shared" si="5"/>
        <v>128.66441429471999</v>
      </c>
      <c r="I10" s="30">
        <v>2</v>
      </c>
      <c r="J10" s="33">
        <f t="shared" si="1"/>
        <v>126.66441429471999</v>
      </c>
      <c r="K10" s="55"/>
    </row>
    <row r="11" spans="1:11" x14ac:dyDescent="0.25">
      <c r="A11" s="13" t="s">
        <v>1</v>
      </c>
      <c r="B11" s="14">
        <v>59434.235542000002</v>
      </c>
      <c r="C11" s="14">
        <f t="shared" si="2"/>
        <v>5.9434235541999998</v>
      </c>
      <c r="D11" s="18">
        <v>11885.8214948</v>
      </c>
      <c r="E11" s="15">
        <f t="shared" si="3"/>
        <v>1.18858214948</v>
      </c>
      <c r="F11" s="16">
        <f t="shared" si="0"/>
        <v>0.19998274372353497</v>
      </c>
      <c r="G11" s="17">
        <f t="shared" si="4"/>
        <v>4.7548414047199996</v>
      </c>
      <c r="H11" s="14">
        <f t="shared" si="5"/>
        <v>57.058096856639992</v>
      </c>
      <c r="I11" s="30">
        <v>25</v>
      </c>
      <c r="J11" s="33">
        <f t="shared" si="1"/>
        <v>32.058096856639992</v>
      </c>
      <c r="K11" s="55"/>
    </row>
    <row r="12" spans="1:11" x14ac:dyDescent="0.25">
      <c r="A12" s="13" t="s">
        <v>0</v>
      </c>
      <c r="B12" s="14">
        <v>155338.66628599999</v>
      </c>
      <c r="C12" s="14">
        <f t="shared" si="2"/>
        <v>15.533866628599998</v>
      </c>
      <c r="D12" s="14">
        <v>31067.607999400003</v>
      </c>
      <c r="E12" s="15">
        <f t="shared" si="3"/>
        <v>3.1067607999400004</v>
      </c>
      <c r="F12" s="16">
        <f t="shared" si="0"/>
        <v>0.19999919364699731</v>
      </c>
      <c r="G12" s="17">
        <f t="shared" si="4"/>
        <v>12.427105828659998</v>
      </c>
      <c r="H12" s="14">
        <f t="shared" si="5"/>
        <v>149.12526994391999</v>
      </c>
      <c r="I12" s="30">
        <v>77</v>
      </c>
      <c r="J12" s="33">
        <f t="shared" si="1"/>
        <v>72.125269943919989</v>
      </c>
      <c r="K12" s="55"/>
    </row>
    <row r="13" spans="1:11" x14ac:dyDescent="0.25">
      <c r="A13" s="19" t="s">
        <v>10</v>
      </c>
      <c r="B13" s="20"/>
      <c r="C13" s="20"/>
      <c r="D13" s="21"/>
      <c r="E13" s="22"/>
      <c r="F13" s="23"/>
      <c r="G13" s="24"/>
      <c r="H13" s="21"/>
      <c r="I13" s="20"/>
      <c r="J13" s="111"/>
      <c r="K13" s="55"/>
    </row>
    <row r="14" spans="1:11" x14ac:dyDescent="0.25">
      <c r="A14" s="13" t="s">
        <v>23</v>
      </c>
      <c r="B14" s="14">
        <v>378466.59581999999</v>
      </c>
      <c r="C14" s="14">
        <f t="shared" si="2"/>
        <v>37.846659582000001</v>
      </c>
      <c r="D14" s="25">
        <v>75887.199999999997</v>
      </c>
      <c r="E14" s="15">
        <f t="shared" si="3"/>
        <v>7.5887199999999995</v>
      </c>
      <c r="F14" s="16">
        <f>SUM(E14/C14)</f>
        <v>0.20051227991622331</v>
      </c>
      <c r="G14" s="17">
        <f t="shared" si="4"/>
        <v>30.257939582000002</v>
      </c>
      <c r="H14" s="14">
        <f t="shared" si="5"/>
        <v>363.09527498400001</v>
      </c>
      <c r="I14" s="30">
        <v>105</v>
      </c>
      <c r="J14" s="33">
        <f>SUM(H14-I14)</f>
        <v>258.09527498400001</v>
      </c>
      <c r="K14" s="55"/>
    </row>
    <row r="15" spans="1:11" x14ac:dyDescent="0.25">
      <c r="A15" s="13" t="s">
        <v>24</v>
      </c>
      <c r="B15" s="14">
        <v>807040.54444099998</v>
      </c>
      <c r="C15" s="14">
        <f t="shared" si="2"/>
        <v>80.704054444099995</v>
      </c>
      <c r="D15" s="18">
        <v>278781.36254100001</v>
      </c>
      <c r="E15" s="15">
        <f t="shared" si="3"/>
        <v>27.878136254099999</v>
      </c>
      <c r="F15" s="16">
        <f>SUM(E15/C15)</f>
        <v>0.3454366257820406</v>
      </c>
      <c r="G15" s="17">
        <f t="shared" si="4"/>
        <v>52.825918189999996</v>
      </c>
      <c r="H15" s="14">
        <f t="shared" si="5"/>
        <v>633.91101828000001</v>
      </c>
      <c r="I15" s="30">
        <v>337</v>
      </c>
      <c r="J15" s="33">
        <f>SUM(H15-I15)</f>
        <v>296.91101828000001</v>
      </c>
      <c r="K15" s="55"/>
    </row>
    <row r="16" spans="1:11" x14ac:dyDescent="0.25">
      <c r="A16" s="13" t="s">
        <v>25</v>
      </c>
      <c r="B16" s="14">
        <v>878032.50700999994</v>
      </c>
      <c r="C16" s="14">
        <f t="shared" si="2"/>
        <v>87.803250700999996</v>
      </c>
      <c r="D16" s="14">
        <v>225990.34571599998</v>
      </c>
      <c r="E16" s="15">
        <f t="shared" si="3"/>
        <v>22.599034571599997</v>
      </c>
      <c r="F16" s="16">
        <f>SUM(E16/C16)</f>
        <v>0.25738266398082932</v>
      </c>
      <c r="G16" s="17">
        <f t="shared" si="4"/>
        <v>65.204216129399995</v>
      </c>
      <c r="H16" s="14">
        <f t="shared" si="5"/>
        <v>782.4505935528</v>
      </c>
      <c r="I16" s="30">
        <v>732</v>
      </c>
      <c r="J16" s="33">
        <f>SUM(H16-I16)</f>
        <v>50.450593552800001</v>
      </c>
      <c r="K16" s="55"/>
    </row>
    <row r="17" spans="1:11" x14ac:dyDescent="0.25">
      <c r="A17" s="19" t="s">
        <v>11</v>
      </c>
      <c r="B17" s="20"/>
      <c r="C17" s="20"/>
      <c r="D17" s="21"/>
      <c r="E17" s="22"/>
      <c r="F17" s="23"/>
      <c r="G17" s="24"/>
      <c r="H17" s="21"/>
      <c r="I17" s="20"/>
      <c r="J17" s="111"/>
      <c r="K17" s="55"/>
    </row>
    <row r="18" spans="1:11" x14ac:dyDescent="0.25">
      <c r="A18" s="13" t="s">
        <v>26</v>
      </c>
      <c r="B18" s="14">
        <v>307532.18674899999</v>
      </c>
      <c r="C18" s="14">
        <f t="shared" si="2"/>
        <v>30.753218674899998</v>
      </c>
      <c r="D18" s="25">
        <v>61512.395749399999</v>
      </c>
      <c r="E18" s="15">
        <f t="shared" si="3"/>
        <v>6.15123957494</v>
      </c>
      <c r="F18" s="16">
        <f>SUM(E18/C18)</f>
        <v>0.20001937488125388</v>
      </c>
      <c r="G18" s="17">
        <f t="shared" si="4"/>
        <v>24.601979099959998</v>
      </c>
      <c r="H18" s="14">
        <f t="shared" si="5"/>
        <v>295.22374919951994</v>
      </c>
      <c r="I18" s="30">
        <v>16</v>
      </c>
      <c r="J18" s="33">
        <f>SUM(H18-I18)</f>
        <v>279.22374919951994</v>
      </c>
      <c r="K18" s="55"/>
    </row>
    <row r="19" spans="1:11" x14ac:dyDescent="0.25">
      <c r="A19" s="13" t="s">
        <v>3</v>
      </c>
      <c r="B19" s="14">
        <v>200437.13983599999</v>
      </c>
      <c r="C19" s="14">
        <f t="shared" si="2"/>
        <v>20.0437139836</v>
      </c>
      <c r="D19" s="18">
        <v>40058.116418800004</v>
      </c>
      <c r="E19" s="15">
        <f t="shared" si="3"/>
        <v>4.0058116418800003</v>
      </c>
      <c r="F19" s="16">
        <f>SUM(E19/C19)</f>
        <v>0.19985376189051599</v>
      </c>
      <c r="G19" s="17">
        <f t="shared" si="4"/>
        <v>16.037902341719999</v>
      </c>
      <c r="H19" s="14">
        <f t="shared" si="5"/>
        <v>192.45482810063999</v>
      </c>
      <c r="I19" s="30">
        <v>5</v>
      </c>
      <c r="J19" s="33">
        <f>SUM(H19-I19)</f>
        <v>187.45482810063999</v>
      </c>
      <c r="K19" s="55"/>
    </row>
    <row r="20" spans="1:11" x14ac:dyDescent="0.25">
      <c r="A20" s="13" t="s">
        <v>8</v>
      </c>
      <c r="B20" s="14">
        <v>1676045.3735789999</v>
      </c>
      <c r="C20" s="14">
        <f t="shared" si="2"/>
        <v>167.6045373579</v>
      </c>
      <c r="D20" s="14">
        <v>501306.09076503944</v>
      </c>
      <c r="E20" s="15">
        <f t="shared" si="3"/>
        <v>50.130609076503944</v>
      </c>
      <c r="F20" s="16">
        <f>SUM(E20/C20)</f>
        <v>0.29910054862927643</v>
      </c>
      <c r="G20" s="17">
        <f t="shared" si="4"/>
        <v>117.47392828139606</v>
      </c>
      <c r="H20" s="14">
        <f t="shared" si="5"/>
        <v>1409.6871393767526</v>
      </c>
      <c r="I20" s="30">
        <v>853</v>
      </c>
      <c r="J20" s="33">
        <f>SUM(H20-I20)</f>
        <v>556.68713937675261</v>
      </c>
      <c r="K20" s="55"/>
    </row>
    <row r="21" spans="1:11" x14ac:dyDescent="0.25">
      <c r="A21" s="13" t="s">
        <v>27</v>
      </c>
      <c r="B21" s="14">
        <v>1256295.495254</v>
      </c>
      <c r="C21" s="14">
        <f t="shared" si="2"/>
        <v>125.62954952539999</v>
      </c>
      <c r="D21" s="14">
        <v>251366.69855280002</v>
      </c>
      <c r="E21" s="15">
        <f t="shared" si="3"/>
        <v>25.136669855280001</v>
      </c>
      <c r="F21" s="16">
        <f>SUM(E21/C21)</f>
        <v>0.20008564824311359</v>
      </c>
      <c r="G21" s="17">
        <f t="shared" si="4"/>
        <v>100.49287967011999</v>
      </c>
      <c r="H21" s="14">
        <f t="shared" si="5"/>
        <v>1205.9145560414399</v>
      </c>
      <c r="I21" s="30">
        <v>2</v>
      </c>
      <c r="J21" s="33">
        <f>SUM(H21-I21)</f>
        <v>1203.9145560414399</v>
      </c>
      <c r="K21" s="55"/>
    </row>
    <row r="22" spans="1:11" x14ac:dyDescent="0.25">
      <c r="A22" s="4" t="s">
        <v>4</v>
      </c>
      <c r="B22" s="39">
        <f>SUM(B3:B21)</f>
        <v>7966376.3442050004</v>
      </c>
      <c r="C22" s="40">
        <f>SUM(C3:C21)</f>
        <v>796.63763442049992</v>
      </c>
      <c r="D22" s="39"/>
      <c r="E22" s="40">
        <f>SUM(E3:E21)</f>
        <v>197.52072920490394</v>
      </c>
      <c r="F22" s="39">
        <f>SUM(E22/C22)</f>
        <v>0.24794300528945878</v>
      </c>
      <c r="G22" s="40">
        <f>SUM(G3:G21)</f>
        <v>599.11690521559603</v>
      </c>
      <c r="H22" s="39">
        <f>SUM(H3:H21)</f>
        <v>7189.4028625871524</v>
      </c>
      <c r="I22" s="11">
        <f>SUM(I3:I21)</f>
        <v>3098</v>
      </c>
      <c r="J22" s="39">
        <f>SUM(J3:J21)</f>
        <v>4091.4028625871533</v>
      </c>
      <c r="K22" s="3"/>
    </row>
    <row r="23" spans="1:11" x14ac:dyDescent="0.25">
      <c r="B23" s="3"/>
      <c r="C23" s="3"/>
      <c r="D23" s="3"/>
      <c r="E23" s="3"/>
      <c r="F23" s="3"/>
      <c r="G23" s="3"/>
      <c r="H23" s="3"/>
    </row>
    <row r="24" spans="1:11" x14ac:dyDescent="0.25">
      <c r="C24" s="8"/>
      <c r="D24" s="6"/>
      <c r="E24" s="6"/>
      <c r="F24" s="6"/>
      <c r="G24" s="6"/>
      <c r="H24" s="6"/>
      <c r="I24" s="7"/>
    </row>
  </sheetData>
  <pageMargins left="0.7" right="0.7" top="0.75" bottom="0.75" header="0.3" footer="0.3"/>
  <pageSetup paperSize="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CF1FF-E907-474B-B4F9-B23209C82D7F}">
  <dimension ref="A1"/>
  <sheetViews>
    <sheetView workbookViewId="0">
      <selection activeCell="O91" sqref="O91"/>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9B666-BF90-4EB2-A6B6-5EA37BDF32A3}">
  <dimension ref="A1:M66"/>
  <sheetViews>
    <sheetView topLeftCell="A17" workbookViewId="0">
      <selection activeCell="C6" sqref="C6"/>
    </sheetView>
  </sheetViews>
  <sheetFormatPr defaultRowHeight="15" x14ac:dyDescent="0.25"/>
  <cols>
    <col min="1" max="1" width="19.85546875" customWidth="1"/>
    <col min="2" max="2" width="18.7109375" customWidth="1"/>
    <col min="3" max="3" width="16.28515625" customWidth="1"/>
    <col min="4" max="5" width="17.42578125" customWidth="1"/>
    <col min="7" max="7" width="18.7109375" customWidth="1"/>
    <col min="8" max="8" width="20" customWidth="1"/>
    <col min="9" max="9" width="16.140625" customWidth="1"/>
    <col min="10" max="10" width="17.28515625" customWidth="1"/>
    <col min="11" max="12" width="19.5703125" customWidth="1"/>
    <col min="13" max="13" width="22.7109375" style="93" customWidth="1"/>
  </cols>
  <sheetData>
    <row r="1" spans="1:13" ht="45.75" thickBot="1" x14ac:dyDescent="0.3">
      <c r="A1" s="69" t="s">
        <v>51</v>
      </c>
      <c r="B1" s="69" t="s">
        <v>52</v>
      </c>
      <c r="C1" s="69" t="s">
        <v>53</v>
      </c>
      <c r="D1" s="69" t="s">
        <v>54</v>
      </c>
      <c r="E1" s="70" t="s">
        <v>55</v>
      </c>
      <c r="F1" s="69" t="s">
        <v>56</v>
      </c>
      <c r="G1" s="70" t="s">
        <v>57</v>
      </c>
      <c r="H1" s="69" t="s">
        <v>58</v>
      </c>
      <c r="I1" s="69" t="s">
        <v>59</v>
      </c>
      <c r="J1" s="71" t="s">
        <v>60</v>
      </c>
      <c r="K1" s="69" t="s">
        <v>61</v>
      </c>
      <c r="L1" s="69" t="s">
        <v>62</v>
      </c>
      <c r="M1" s="72" t="s">
        <v>63</v>
      </c>
    </row>
    <row r="2" spans="1:13" ht="48.75" thickBot="1" x14ac:dyDescent="0.3">
      <c r="A2" s="73" t="s">
        <v>64</v>
      </c>
      <c r="B2" s="74">
        <v>42390</v>
      </c>
      <c r="C2" s="75"/>
      <c r="D2" s="75" t="s">
        <v>65</v>
      </c>
      <c r="E2" s="75">
        <v>4</v>
      </c>
      <c r="F2" s="76">
        <v>1</v>
      </c>
      <c r="G2" s="76">
        <f t="shared" ref="G2:G10" si="0">E2*F2</f>
        <v>4</v>
      </c>
      <c r="H2" s="75" t="s">
        <v>66</v>
      </c>
      <c r="I2" s="75" t="s">
        <v>67</v>
      </c>
      <c r="J2" s="75" t="s">
        <v>68</v>
      </c>
      <c r="K2" s="75" t="s">
        <v>69</v>
      </c>
      <c r="L2" s="75" t="s">
        <v>70</v>
      </c>
      <c r="M2" s="77"/>
    </row>
    <row r="3" spans="1:13" ht="48.75" thickBot="1" x14ac:dyDescent="0.3">
      <c r="A3" s="73" t="s">
        <v>71</v>
      </c>
      <c r="B3" s="74">
        <v>42430</v>
      </c>
      <c r="C3" s="75"/>
      <c r="D3" s="75" t="s">
        <v>72</v>
      </c>
      <c r="E3" s="75">
        <v>4</v>
      </c>
      <c r="F3" s="76">
        <v>1</v>
      </c>
      <c r="G3" s="76">
        <f t="shared" si="0"/>
        <v>4</v>
      </c>
      <c r="H3" s="75" t="s">
        <v>66</v>
      </c>
      <c r="I3" s="75" t="s">
        <v>73</v>
      </c>
      <c r="J3" s="75" t="s">
        <v>74</v>
      </c>
      <c r="K3" s="75" t="s">
        <v>75</v>
      </c>
      <c r="L3" s="75" t="s">
        <v>70</v>
      </c>
      <c r="M3" s="77"/>
    </row>
    <row r="4" spans="1:13" ht="60.75" thickBot="1" x14ac:dyDescent="0.3">
      <c r="A4" s="73" t="s">
        <v>76</v>
      </c>
      <c r="B4" s="74">
        <v>42524</v>
      </c>
      <c r="C4" s="75"/>
      <c r="D4" s="75" t="s">
        <v>77</v>
      </c>
      <c r="E4" s="75">
        <v>16</v>
      </c>
      <c r="F4" s="76">
        <v>2</v>
      </c>
      <c r="G4" s="76">
        <f t="shared" si="0"/>
        <v>32</v>
      </c>
      <c r="H4" s="75" t="s">
        <v>66</v>
      </c>
      <c r="I4" s="75" t="s">
        <v>78</v>
      </c>
      <c r="J4" s="75" t="s">
        <v>79</v>
      </c>
      <c r="K4" s="75" t="s">
        <v>80</v>
      </c>
      <c r="L4" s="75" t="s">
        <v>70</v>
      </c>
      <c r="M4" s="77"/>
    </row>
    <row r="5" spans="1:13" ht="48.75" thickBot="1" x14ac:dyDescent="0.3">
      <c r="A5" s="73" t="s">
        <v>81</v>
      </c>
      <c r="B5" s="74">
        <v>42458</v>
      </c>
      <c r="C5" s="75"/>
      <c r="D5" s="75" t="s">
        <v>82</v>
      </c>
      <c r="E5" s="75">
        <v>21</v>
      </c>
      <c r="F5" s="76">
        <v>1</v>
      </c>
      <c r="G5" s="76">
        <f t="shared" si="0"/>
        <v>21</v>
      </c>
      <c r="H5" s="75" t="s">
        <v>66</v>
      </c>
      <c r="I5" s="75" t="s">
        <v>83</v>
      </c>
      <c r="J5" s="75" t="s">
        <v>84</v>
      </c>
      <c r="K5" s="75" t="s">
        <v>85</v>
      </c>
      <c r="L5" s="75" t="s">
        <v>86</v>
      </c>
      <c r="M5" s="77"/>
    </row>
    <row r="6" spans="1:13" ht="60.75" thickBot="1" x14ac:dyDescent="0.3">
      <c r="A6" s="73" t="s">
        <v>87</v>
      </c>
      <c r="B6" s="74">
        <v>42487</v>
      </c>
      <c r="C6" s="75"/>
      <c r="D6" s="75" t="s">
        <v>88</v>
      </c>
      <c r="E6" s="75">
        <v>6</v>
      </c>
      <c r="F6" s="76">
        <v>1</v>
      </c>
      <c r="G6" s="76">
        <f t="shared" si="0"/>
        <v>6</v>
      </c>
      <c r="H6" s="75" t="s">
        <v>66</v>
      </c>
      <c r="I6" s="75" t="s">
        <v>89</v>
      </c>
      <c r="J6" s="75" t="s">
        <v>90</v>
      </c>
      <c r="K6" s="75" t="s">
        <v>91</v>
      </c>
      <c r="L6" s="75" t="s">
        <v>86</v>
      </c>
      <c r="M6" s="77"/>
    </row>
    <row r="7" spans="1:13" ht="72.75" thickBot="1" x14ac:dyDescent="0.3">
      <c r="A7" s="73" t="s">
        <v>92</v>
      </c>
      <c r="B7" s="74">
        <v>42513</v>
      </c>
      <c r="C7" s="75"/>
      <c r="D7" s="75" t="s">
        <v>93</v>
      </c>
      <c r="E7" s="75">
        <v>8</v>
      </c>
      <c r="F7" s="76">
        <v>1</v>
      </c>
      <c r="G7" s="76">
        <f t="shared" si="0"/>
        <v>8</v>
      </c>
      <c r="H7" s="75" t="s">
        <v>66</v>
      </c>
      <c r="I7" s="75" t="s">
        <v>94</v>
      </c>
      <c r="J7" s="75" t="s">
        <v>95</v>
      </c>
      <c r="K7" s="75" t="s">
        <v>96</v>
      </c>
      <c r="L7" s="75" t="s">
        <v>86</v>
      </c>
      <c r="M7" s="77"/>
    </row>
    <row r="8" spans="1:13" ht="108.75" thickBot="1" x14ac:dyDescent="0.3">
      <c r="A8" s="73" t="s">
        <v>97</v>
      </c>
      <c r="B8" s="74">
        <v>42543</v>
      </c>
      <c r="C8" s="75"/>
      <c r="D8" s="75" t="s">
        <v>98</v>
      </c>
      <c r="E8" s="75">
        <v>90</v>
      </c>
      <c r="F8" s="76">
        <v>1</v>
      </c>
      <c r="G8" s="76">
        <f t="shared" si="0"/>
        <v>90</v>
      </c>
      <c r="H8" s="75" t="s">
        <v>66</v>
      </c>
      <c r="I8" s="75" t="s">
        <v>99</v>
      </c>
      <c r="J8" s="75" t="s">
        <v>100</v>
      </c>
      <c r="K8" s="75" t="s">
        <v>101</v>
      </c>
      <c r="L8" s="75" t="s">
        <v>86</v>
      </c>
      <c r="M8" s="77"/>
    </row>
    <row r="9" spans="1:13" ht="60.75" thickBot="1" x14ac:dyDescent="0.3">
      <c r="A9" s="73" t="s">
        <v>102</v>
      </c>
      <c r="B9" s="74">
        <v>42583</v>
      </c>
      <c r="C9" s="75"/>
      <c r="D9" s="75" t="s">
        <v>103</v>
      </c>
      <c r="E9" s="75">
        <v>20</v>
      </c>
      <c r="F9" s="76">
        <v>1</v>
      </c>
      <c r="G9" s="76">
        <f t="shared" si="0"/>
        <v>20</v>
      </c>
      <c r="H9" s="75" t="s">
        <v>66</v>
      </c>
      <c r="I9" s="75" t="s">
        <v>104</v>
      </c>
      <c r="J9" s="75" t="s">
        <v>105</v>
      </c>
      <c r="K9" s="75" t="s">
        <v>106</v>
      </c>
      <c r="L9" s="75" t="s">
        <v>86</v>
      </c>
      <c r="M9" s="77"/>
    </row>
    <row r="10" spans="1:13" ht="96.75" thickBot="1" x14ac:dyDescent="0.3">
      <c r="A10" s="73" t="s">
        <v>107</v>
      </c>
      <c r="B10" s="74">
        <v>42913</v>
      </c>
      <c r="C10" s="75" t="s">
        <v>108</v>
      </c>
      <c r="D10" s="75" t="s">
        <v>109</v>
      </c>
      <c r="E10" s="75">
        <v>28</v>
      </c>
      <c r="F10" s="76">
        <v>1</v>
      </c>
      <c r="G10" s="76">
        <f t="shared" si="0"/>
        <v>28</v>
      </c>
      <c r="H10" s="75" t="s">
        <v>66</v>
      </c>
      <c r="I10" s="75" t="s">
        <v>110</v>
      </c>
      <c r="J10" s="75" t="s">
        <v>111</v>
      </c>
      <c r="K10" s="75" t="s">
        <v>112</v>
      </c>
      <c r="L10" s="75" t="s">
        <v>86</v>
      </c>
      <c r="M10" s="77"/>
    </row>
    <row r="11" spans="1:13" ht="15.75" thickBot="1" x14ac:dyDescent="0.3">
      <c r="A11" s="78" t="s">
        <v>113</v>
      </c>
      <c r="B11" s="79"/>
      <c r="C11" s="80"/>
      <c r="D11" s="80"/>
      <c r="E11" s="80"/>
      <c r="F11" s="81"/>
      <c r="G11" s="81"/>
      <c r="H11" s="80"/>
      <c r="I11" s="80"/>
      <c r="J11" s="80"/>
      <c r="K11" s="80"/>
      <c r="L11" s="82"/>
      <c r="M11" s="83" t="s">
        <v>114</v>
      </c>
    </row>
    <row r="12" spans="1:13" ht="15.75" thickBot="1" x14ac:dyDescent="0.3">
      <c r="A12" s="84" t="s">
        <v>70</v>
      </c>
      <c r="B12" s="85"/>
      <c r="C12" s="86"/>
      <c r="D12" s="86"/>
      <c r="E12" s="86"/>
      <c r="F12" s="87"/>
      <c r="G12" s="87"/>
      <c r="H12" s="86"/>
      <c r="I12" s="86"/>
      <c r="J12" s="86"/>
      <c r="K12" s="86"/>
      <c r="L12" s="86">
        <f>N4</f>
        <v>0</v>
      </c>
      <c r="M12" s="88">
        <f>L12/2</f>
        <v>0</v>
      </c>
    </row>
    <row r="13" spans="1:13" ht="15.75" thickBot="1" x14ac:dyDescent="0.3">
      <c r="A13" s="84" t="s">
        <v>86</v>
      </c>
      <c r="B13" s="85"/>
      <c r="C13" s="86"/>
      <c r="D13" s="86"/>
      <c r="E13" s="86"/>
      <c r="F13" s="87"/>
      <c r="G13" s="87"/>
      <c r="H13" s="86"/>
      <c r="I13" s="86"/>
      <c r="J13" s="86"/>
      <c r="K13" s="86"/>
      <c r="L13" s="86">
        <f>N10</f>
        <v>0</v>
      </c>
      <c r="M13" s="88">
        <f>L13/2</f>
        <v>0</v>
      </c>
    </row>
    <row r="14" spans="1:13" ht="15.75" thickBot="1" x14ac:dyDescent="0.3">
      <c r="A14" s="84" t="s">
        <v>115</v>
      </c>
      <c r="B14" s="85"/>
      <c r="C14" s="86"/>
      <c r="D14" s="86"/>
      <c r="E14" s="86"/>
      <c r="F14" s="87"/>
      <c r="G14" s="87"/>
      <c r="H14" s="86"/>
      <c r="I14" s="86"/>
      <c r="J14" s="86"/>
      <c r="K14" s="86"/>
      <c r="L14" s="86">
        <v>0</v>
      </c>
      <c r="M14" s="88">
        <v>0</v>
      </c>
    </row>
    <row r="15" spans="1:13" ht="72.75" thickBot="1" x14ac:dyDescent="0.3">
      <c r="A15" s="73" t="s">
        <v>116</v>
      </c>
      <c r="B15" s="74">
        <v>43168</v>
      </c>
      <c r="C15" s="75"/>
      <c r="D15" s="75" t="s">
        <v>117</v>
      </c>
      <c r="E15" s="75">
        <v>7</v>
      </c>
      <c r="F15" s="76">
        <v>1</v>
      </c>
      <c r="G15" s="76">
        <f t="shared" ref="G15:G29" si="1">E15*F15</f>
        <v>7</v>
      </c>
      <c r="H15" s="75" t="s">
        <v>66</v>
      </c>
      <c r="I15" s="75" t="s">
        <v>118</v>
      </c>
      <c r="J15" s="75" t="s">
        <v>119</v>
      </c>
      <c r="K15" s="75" t="s">
        <v>120</v>
      </c>
      <c r="L15" s="75" t="s">
        <v>86</v>
      </c>
      <c r="M15" s="77"/>
    </row>
    <row r="16" spans="1:13" ht="60.75" thickBot="1" x14ac:dyDescent="0.3">
      <c r="A16" s="73" t="s">
        <v>121</v>
      </c>
      <c r="B16" s="74">
        <v>43168</v>
      </c>
      <c r="C16" s="75"/>
      <c r="D16" s="75" t="s">
        <v>122</v>
      </c>
      <c r="E16" s="75">
        <v>4</v>
      </c>
      <c r="F16" s="76">
        <v>1</v>
      </c>
      <c r="G16" s="76">
        <f t="shared" si="1"/>
        <v>4</v>
      </c>
      <c r="H16" s="75" t="s">
        <v>66</v>
      </c>
      <c r="I16" s="75" t="s">
        <v>123</v>
      </c>
      <c r="J16" s="75" t="s">
        <v>124</v>
      </c>
      <c r="K16" s="75" t="s">
        <v>125</v>
      </c>
      <c r="L16" s="75" t="s">
        <v>86</v>
      </c>
      <c r="M16" s="77"/>
    </row>
    <row r="17" spans="1:13" ht="60.75" thickBot="1" x14ac:dyDescent="0.3">
      <c r="A17" s="73" t="s">
        <v>126</v>
      </c>
      <c r="B17" s="74">
        <v>43168</v>
      </c>
      <c r="C17" s="75"/>
      <c r="D17" s="75" t="s">
        <v>88</v>
      </c>
      <c r="E17" s="75">
        <v>6</v>
      </c>
      <c r="F17" s="76">
        <v>1</v>
      </c>
      <c r="G17" s="76">
        <f t="shared" si="1"/>
        <v>6</v>
      </c>
      <c r="H17" s="75" t="s">
        <v>66</v>
      </c>
      <c r="I17" s="75" t="s">
        <v>127</v>
      </c>
      <c r="J17" s="75" t="s">
        <v>128</v>
      </c>
      <c r="K17" s="75" t="s">
        <v>129</v>
      </c>
      <c r="L17" s="75" t="s">
        <v>86</v>
      </c>
      <c r="M17" s="77"/>
    </row>
    <row r="18" spans="1:13" ht="72.75" thickBot="1" x14ac:dyDescent="0.3">
      <c r="A18" s="73" t="s">
        <v>130</v>
      </c>
      <c r="B18" s="74">
        <v>43187</v>
      </c>
      <c r="C18" s="75"/>
      <c r="D18" s="75" t="s">
        <v>131</v>
      </c>
      <c r="E18" s="75">
        <v>5</v>
      </c>
      <c r="F18" s="76">
        <v>1</v>
      </c>
      <c r="G18" s="76">
        <f t="shared" si="1"/>
        <v>5</v>
      </c>
      <c r="H18" s="75" t="s">
        <v>66</v>
      </c>
      <c r="I18" s="75" t="s">
        <v>132</v>
      </c>
      <c r="J18" s="75" t="s">
        <v>133</v>
      </c>
      <c r="K18" s="75" t="s">
        <v>134</v>
      </c>
      <c r="L18" s="75" t="s">
        <v>86</v>
      </c>
      <c r="M18" s="77"/>
    </row>
    <row r="19" spans="1:13" ht="60.75" thickBot="1" x14ac:dyDescent="0.3">
      <c r="A19" s="73" t="s">
        <v>135</v>
      </c>
      <c r="B19" s="74">
        <v>43672</v>
      </c>
      <c r="C19" s="75"/>
      <c r="D19" s="75" t="s">
        <v>136</v>
      </c>
      <c r="E19" s="75">
        <v>20</v>
      </c>
      <c r="F19" s="76">
        <v>1</v>
      </c>
      <c r="G19" s="76">
        <f t="shared" si="1"/>
        <v>20</v>
      </c>
      <c r="H19" s="75" t="s">
        <v>66</v>
      </c>
      <c r="I19" s="75" t="s">
        <v>137</v>
      </c>
      <c r="J19" s="75" t="s">
        <v>138</v>
      </c>
      <c r="K19" s="75" t="s">
        <v>139</v>
      </c>
      <c r="L19" s="75" t="s">
        <v>86</v>
      </c>
      <c r="M19" s="77"/>
    </row>
    <row r="20" spans="1:13" ht="72.75" thickBot="1" x14ac:dyDescent="0.3">
      <c r="A20" s="73" t="s">
        <v>140</v>
      </c>
      <c r="B20" s="74">
        <v>43770</v>
      </c>
      <c r="C20" s="75" t="s">
        <v>108</v>
      </c>
      <c r="D20" s="75" t="s">
        <v>141</v>
      </c>
      <c r="E20" s="75">
        <v>4</v>
      </c>
      <c r="F20" s="76">
        <v>1</v>
      </c>
      <c r="G20" s="76">
        <f t="shared" si="1"/>
        <v>4</v>
      </c>
      <c r="H20" s="75" t="s">
        <v>66</v>
      </c>
      <c r="I20" s="75" t="s">
        <v>142</v>
      </c>
      <c r="J20" s="75" t="s">
        <v>143</v>
      </c>
      <c r="K20" s="75" t="s">
        <v>144</v>
      </c>
      <c r="L20" s="75" t="s">
        <v>86</v>
      </c>
      <c r="M20" s="77"/>
    </row>
    <row r="21" spans="1:13" ht="36.75" thickBot="1" x14ac:dyDescent="0.3">
      <c r="A21" s="73" t="s">
        <v>145</v>
      </c>
      <c r="B21" s="74">
        <v>43923</v>
      </c>
      <c r="C21" s="75"/>
      <c r="D21" s="75" t="s">
        <v>146</v>
      </c>
      <c r="E21" s="75">
        <v>5</v>
      </c>
      <c r="F21" s="76">
        <v>1</v>
      </c>
      <c r="G21" s="76">
        <f t="shared" si="1"/>
        <v>5</v>
      </c>
      <c r="H21" s="75" t="s">
        <v>66</v>
      </c>
      <c r="I21" s="75" t="s">
        <v>147</v>
      </c>
      <c r="J21" s="75" t="s">
        <v>148</v>
      </c>
      <c r="K21" s="75" t="s">
        <v>149</v>
      </c>
      <c r="L21" s="75" t="s">
        <v>86</v>
      </c>
      <c r="M21" s="77"/>
    </row>
    <row r="22" spans="1:13" ht="96.75" thickBot="1" x14ac:dyDescent="0.3">
      <c r="A22" s="73" t="s">
        <v>150</v>
      </c>
      <c r="B22" s="74">
        <v>44035</v>
      </c>
      <c r="C22" s="75"/>
      <c r="D22" s="75" t="s">
        <v>151</v>
      </c>
      <c r="E22" s="75">
        <v>4</v>
      </c>
      <c r="F22" s="76">
        <v>1</v>
      </c>
      <c r="G22" s="76">
        <f t="shared" si="1"/>
        <v>4</v>
      </c>
      <c r="H22" s="75" t="s">
        <v>66</v>
      </c>
      <c r="I22" s="75" t="s">
        <v>152</v>
      </c>
      <c r="J22" s="75" t="s">
        <v>153</v>
      </c>
      <c r="K22" s="75" t="s">
        <v>154</v>
      </c>
      <c r="L22" s="75" t="s">
        <v>86</v>
      </c>
      <c r="M22" s="77"/>
    </row>
    <row r="23" spans="1:13" ht="132.75" thickBot="1" x14ac:dyDescent="0.3">
      <c r="A23" s="89" t="s">
        <v>155</v>
      </c>
      <c r="B23" s="90">
        <v>44098</v>
      </c>
      <c r="C23" s="89"/>
      <c r="D23" s="89" t="s">
        <v>156</v>
      </c>
      <c r="E23" s="89">
        <v>71</v>
      </c>
      <c r="F23" s="91">
        <v>1</v>
      </c>
      <c r="G23" s="76">
        <f t="shared" si="1"/>
        <v>71</v>
      </c>
      <c r="H23" s="89" t="s">
        <v>66</v>
      </c>
      <c r="I23" s="89" t="s">
        <v>157</v>
      </c>
      <c r="J23" s="89" t="s">
        <v>158</v>
      </c>
      <c r="K23" s="89" t="s">
        <v>159</v>
      </c>
      <c r="L23" s="89" t="s">
        <v>86</v>
      </c>
      <c r="M23" s="92"/>
    </row>
    <row r="24" spans="1:13" ht="60.75" thickBot="1" x14ac:dyDescent="0.3">
      <c r="A24" s="73" t="s">
        <v>160</v>
      </c>
      <c r="B24" s="74">
        <v>44155</v>
      </c>
      <c r="C24" s="75"/>
      <c r="D24" s="75" t="s">
        <v>161</v>
      </c>
      <c r="E24" s="75">
        <v>6</v>
      </c>
      <c r="F24" s="76">
        <v>1</v>
      </c>
      <c r="G24" s="76">
        <f t="shared" si="1"/>
        <v>6</v>
      </c>
      <c r="H24" s="75" t="s">
        <v>66</v>
      </c>
      <c r="I24" s="75" t="s">
        <v>162</v>
      </c>
      <c r="J24" s="75" t="s">
        <v>163</v>
      </c>
      <c r="K24" s="75" t="s">
        <v>164</v>
      </c>
      <c r="L24" s="75" t="s">
        <v>86</v>
      </c>
      <c r="M24" s="77"/>
    </row>
    <row r="25" spans="1:13" ht="96.75" thickBot="1" x14ac:dyDescent="0.3">
      <c r="A25" s="73" t="s">
        <v>165</v>
      </c>
      <c r="B25" s="74">
        <v>43693</v>
      </c>
      <c r="C25" s="75" t="s">
        <v>166</v>
      </c>
      <c r="D25" s="75" t="s">
        <v>167</v>
      </c>
      <c r="E25" s="75">
        <v>5</v>
      </c>
      <c r="F25" s="76">
        <v>1</v>
      </c>
      <c r="G25" s="76">
        <f t="shared" si="1"/>
        <v>5</v>
      </c>
      <c r="H25" s="75" t="s">
        <v>66</v>
      </c>
      <c r="I25" s="75" t="s">
        <v>168</v>
      </c>
      <c r="J25" s="75" t="s">
        <v>169</v>
      </c>
      <c r="K25" s="75" t="s">
        <v>170</v>
      </c>
      <c r="L25" s="75" t="s">
        <v>70</v>
      </c>
      <c r="M25" s="77"/>
    </row>
    <row r="26" spans="1:13" ht="108.75" thickBot="1" x14ac:dyDescent="0.3">
      <c r="A26" s="73" t="s">
        <v>171</v>
      </c>
      <c r="B26" s="74">
        <v>43763</v>
      </c>
      <c r="C26" s="75" t="s">
        <v>108</v>
      </c>
      <c r="D26" s="75" t="s">
        <v>172</v>
      </c>
      <c r="E26" s="75">
        <v>15</v>
      </c>
      <c r="F26" s="76">
        <v>1</v>
      </c>
      <c r="G26" s="76">
        <f t="shared" si="1"/>
        <v>15</v>
      </c>
      <c r="H26" s="75" t="s">
        <v>66</v>
      </c>
      <c r="I26" s="75" t="s">
        <v>173</v>
      </c>
      <c r="J26" s="75" t="s">
        <v>174</v>
      </c>
      <c r="K26" s="75" t="s">
        <v>175</v>
      </c>
      <c r="L26" s="75" t="s">
        <v>70</v>
      </c>
      <c r="M26" s="77"/>
    </row>
    <row r="27" spans="1:13" ht="72.75" thickBot="1" x14ac:dyDescent="0.3">
      <c r="A27" s="73" t="s">
        <v>176</v>
      </c>
      <c r="B27" s="74">
        <v>43767</v>
      </c>
      <c r="C27" s="75"/>
      <c r="D27" s="75" t="s">
        <v>177</v>
      </c>
      <c r="E27" s="75">
        <v>12</v>
      </c>
      <c r="F27" s="76">
        <v>1</v>
      </c>
      <c r="G27" s="76">
        <f t="shared" si="1"/>
        <v>12</v>
      </c>
      <c r="H27" s="75" t="s">
        <v>66</v>
      </c>
      <c r="I27" s="75" t="s">
        <v>178</v>
      </c>
      <c r="J27" s="75" t="s">
        <v>179</v>
      </c>
      <c r="K27" s="75" t="s">
        <v>180</v>
      </c>
      <c r="L27" s="75" t="s">
        <v>70</v>
      </c>
      <c r="M27" s="77"/>
    </row>
    <row r="28" spans="1:13" ht="48.75" thickBot="1" x14ac:dyDescent="0.3">
      <c r="A28" s="73" t="s">
        <v>181</v>
      </c>
      <c r="B28" s="74">
        <v>43906</v>
      </c>
      <c r="C28" s="75"/>
      <c r="D28" s="75" t="s">
        <v>182</v>
      </c>
      <c r="E28" s="75">
        <v>5</v>
      </c>
      <c r="F28" s="76">
        <v>1</v>
      </c>
      <c r="G28" s="76">
        <f t="shared" si="1"/>
        <v>5</v>
      </c>
      <c r="H28" s="75" t="s">
        <v>66</v>
      </c>
      <c r="I28" s="75" t="s">
        <v>183</v>
      </c>
      <c r="J28" s="75" t="s">
        <v>184</v>
      </c>
      <c r="K28" s="75" t="s">
        <v>185</v>
      </c>
      <c r="L28" s="75" t="s">
        <v>115</v>
      </c>
      <c r="M28" s="77"/>
    </row>
    <row r="29" spans="1:13" ht="60.75" thickBot="1" x14ac:dyDescent="0.3">
      <c r="A29" s="73" t="s">
        <v>186</v>
      </c>
      <c r="B29" s="74">
        <v>43762</v>
      </c>
      <c r="C29" s="75"/>
      <c r="D29" s="75" t="s">
        <v>187</v>
      </c>
      <c r="E29" s="75">
        <v>13</v>
      </c>
      <c r="F29" s="76">
        <v>1</v>
      </c>
      <c r="G29" s="76">
        <f t="shared" si="1"/>
        <v>13</v>
      </c>
      <c r="H29" s="75" t="s">
        <v>66</v>
      </c>
      <c r="I29" s="75" t="s">
        <v>188</v>
      </c>
      <c r="J29" s="75" t="s">
        <v>189</v>
      </c>
      <c r="K29" s="75" t="s">
        <v>190</v>
      </c>
      <c r="L29" s="75"/>
      <c r="M29" s="77"/>
    </row>
    <row r="30" spans="1:13" ht="15.75" thickBot="1" x14ac:dyDescent="0.3">
      <c r="A30" s="78" t="s">
        <v>191</v>
      </c>
      <c r="B30" s="79"/>
      <c r="C30" s="80"/>
      <c r="D30" s="80"/>
      <c r="E30" s="80"/>
      <c r="F30" s="81"/>
      <c r="G30" s="81"/>
      <c r="H30" s="80"/>
      <c r="I30" s="80"/>
      <c r="J30" s="80"/>
      <c r="K30" s="80"/>
      <c r="L30" s="80"/>
      <c r="M30" s="83"/>
    </row>
    <row r="31" spans="1:13" ht="15.75" thickBot="1" x14ac:dyDescent="0.3">
      <c r="A31" s="84" t="s">
        <v>70</v>
      </c>
      <c r="B31" s="85"/>
      <c r="C31" s="86"/>
      <c r="D31" s="86"/>
      <c r="E31" s="86"/>
      <c r="F31" s="87"/>
      <c r="G31" s="87"/>
      <c r="H31" s="86"/>
      <c r="I31" s="86"/>
      <c r="J31" s="86"/>
      <c r="K31" s="86"/>
      <c r="L31" s="86">
        <f>N27</f>
        <v>0</v>
      </c>
      <c r="M31" s="88">
        <f>L31/2</f>
        <v>0</v>
      </c>
    </row>
    <row r="32" spans="1:13" ht="15.75" thickBot="1" x14ac:dyDescent="0.3">
      <c r="A32" s="84" t="s">
        <v>86</v>
      </c>
      <c r="B32" s="85"/>
      <c r="C32" s="86"/>
      <c r="D32" s="86"/>
      <c r="E32" s="86"/>
      <c r="F32" s="87"/>
      <c r="G32" s="87"/>
      <c r="H32" s="86"/>
      <c r="I32" s="86"/>
      <c r="J32" s="86"/>
      <c r="K32" s="86"/>
      <c r="L32" s="86">
        <f>N24</f>
        <v>0</v>
      </c>
      <c r="M32" s="88">
        <f>L32/2</f>
        <v>0</v>
      </c>
    </row>
    <row r="33" spans="1:13" ht="15.75" thickBot="1" x14ac:dyDescent="0.3">
      <c r="A33" s="84" t="s">
        <v>115</v>
      </c>
      <c r="B33" s="85"/>
      <c r="C33" s="86"/>
      <c r="D33" s="86"/>
      <c r="E33" s="86"/>
      <c r="F33" s="87"/>
      <c r="G33" s="87"/>
      <c r="H33" s="86"/>
      <c r="I33" s="86"/>
      <c r="J33" s="86"/>
      <c r="K33" s="86"/>
      <c r="L33" s="86">
        <f>N28</f>
        <v>0</v>
      </c>
      <c r="M33" s="88">
        <f>L33/2</f>
        <v>0</v>
      </c>
    </row>
    <row r="34" spans="1:13" ht="15.75" thickBot="1" x14ac:dyDescent="0.3">
      <c r="A34" s="84" t="s">
        <v>192</v>
      </c>
      <c r="B34" s="85"/>
      <c r="C34" s="86"/>
      <c r="D34" s="86"/>
      <c r="E34" s="86"/>
      <c r="F34" s="87"/>
      <c r="G34" s="87"/>
      <c r="H34" s="86"/>
      <c r="I34" s="86"/>
      <c r="J34" s="86"/>
      <c r="K34" s="86"/>
      <c r="L34" s="86">
        <v>13</v>
      </c>
      <c r="M34" s="88">
        <f>L34/2</f>
        <v>6.5</v>
      </c>
    </row>
    <row r="35" spans="1:13" ht="108.75" thickBot="1" x14ac:dyDescent="0.3">
      <c r="A35" s="73" t="s">
        <v>193</v>
      </c>
      <c r="B35" s="74">
        <v>44407</v>
      </c>
      <c r="C35" s="75"/>
      <c r="D35" s="75" t="s">
        <v>194</v>
      </c>
      <c r="E35" s="75">
        <v>237</v>
      </c>
      <c r="F35" s="76">
        <v>1</v>
      </c>
      <c r="G35" s="76">
        <f>E35*F35</f>
        <v>237</v>
      </c>
      <c r="H35" s="75" t="s">
        <v>66</v>
      </c>
      <c r="I35" s="75" t="s">
        <v>195</v>
      </c>
      <c r="J35" s="75" t="s">
        <v>196</v>
      </c>
      <c r="K35" s="75" t="s">
        <v>197</v>
      </c>
      <c r="L35" s="75" t="s">
        <v>115</v>
      </c>
      <c r="M35" s="77"/>
    </row>
    <row r="36" spans="1:13" ht="48.75" thickBot="1" x14ac:dyDescent="0.3">
      <c r="A36" s="73" t="s">
        <v>198</v>
      </c>
      <c r="B36" s="74">
        <v>44726</v>
      </c>
      <c r="C36" s="75"/>
      <c r="D36" s="75" t="s">
        <v>199</v>
      </c>
      <c r="E36" s="75">
        <v>48</v>
      </c>
      <c r="F36" s="76">
        <v>1</v>
      </c>
      <c r="G36" s="76">
        <f>E36*F36</f>
        <v>48</v>
      </c>
      <c r="H36" s="75" t="s">
        <v>66</v>
      </c>
      <c r="I36" s="75" t="s">
        <v>200</v>
      </c>
      <c r="J36" s="75" t="s">
        <v>201</v>
      </c>
      <c r="K36" s="75" t="s">
        <v>202</v>
      </c>
      <c r="L36" s="75" t="s">
        <v>115</v>
      </c>
      <c r="M36" s="77"/>
    </row>
    <row r="37" spans="1:13" ht="96.75" thickBot="1" x14ac:dyDescent="0.3">
      <c r="A37" s="73" t="s">
        <v>203</v>
      </c>
      <c r="B37" s="74">
        <v>45203</v>
      </c>
      <c r="C37" s="75"/>
      <c r="D37" s="75" t="s">
        <v>204</v>
      </c>
      <c r="E37" s="75">
        <v>17</v>
      </c>
      <c r="F37" s="76">
        <v>1</v>
      </c>
      <c r="G37" s="76">
        <f>E37*F37</f>
        <v>17</v>
      </c>
      <c r="H37" s="75" t="s">
        <v>205</v>
      </c>
      <c r="I37" s="75" t="s">
        <v>206</v>
      </c>
      <c r="J37" s="75" t="s">
        <v>207</v>
      </c>
      <c r="K37" s="75" t="s">
        <v>208</v>
      </c>
      <c r="L37" s="75" t="s">
        <v>115</v>
      </c>
      <c r="M37" s="77"/>
    </row>
    <row r="38" spans="1:13" ht="72.75" thickBot="1" x14ac:dyDescent="0.3">
      <c r="A38" s="73" t="s">
        <v>209</v>
      </c>
      <c r="B38" s="74">
        <v>45008</v>
      </c>
      <c r="C38" s="75"/>
      <c r="D38" s="75" t="s">
        <v>210</v>
      </c>
      <c r="E38" s="75">
        <v>16</v>
      </c>
      <c r="F38" s="76">
        <v>1</v>
      </c>
      <c r="G38" s="76">
        <f>E38*F38</f>
        <v>16</v>
      </c>
      <c r="H38" s="75" t="s">
        <v>211</v>
      </c>
      <c r="I38" s="75" t="s">
        <v>212</v>
      </c>
      <c r="J38" s="75" t="s">
        <v>213</v>
      </c>
      <c r="K38" s="75" t="s">
        <v>214</v>
      </c>
      <c r="L38" s="75" t="s">
        <v>70</v>
      </c>
      <c r="M38" s="77"/>
    </row>
    <row r="39" spans="1:13" ht="72.75" thickBot="1" x14ac:dyDescent="0.3">
      <c r="A39" s="73" t="s">
        <v>209</v>
      </c>
      <c r="B39" s="74">
        <v>45008</v>
      </c>
      <c r="C39" s="75"/>
      <c r="D39" s="75" t="s">
        <v>210</v>
      </c>
      <c r="E39" s="75">
        <v>16</v>
      </c>
      <c r="F39" s="76" t="s">
        <v>215</v>
      </c>
      <c r="G39" s="76">
        <f>6*1+10*2</f>
        <v>26</v>
      </c>
      <c r="H39" s="75" t="s">
        <v>216</v>
      </c>
      <c r="I39" s="75" t="s">
        <v>217</v>
      </c>
      <c r="J39" s="75" t="s">
        <v>213</v>
      </c>
      <c r="K39" s="75" t="s">
        <v>218</v>
      </c>
      <c r="L39" s="75" t="s">
        <v>70</v>
      </c>
      <c r="M39" s="77"/>
    </row>
    <row r="40" spans="1:13" ht="72.75" thickBot="1" x14ac:dyDescent="0.3">
      <c r="A40" s="89" t="s">
        <v>219</v>
      </c>
      <c r="B40" s="90">
        <v>44467</v>
      </c>
      <c r="C40" s="89"/>
      <c r="D40" s="89" t="s">
        <v>220</v>
      </c>
      <c r="E40" s="89">
        <v>4</v>
      </c>
      <c r="F40" s="91">
        <v>1</v>
      </c>
      <c r="G40" s="76">
        <f t="shared" ref="G40:G47" si="2">E40*F40</f>
        <v>4</v>
      </c>
      <c r="H40" s="89" t="s">
        <v>66</v>
      </c>
      <c r="I40" s="89" t="s">
        <v>221</v>
      </c>
      <c r="J40" s="89" t="s">
        <v>222</v>
      </c>
      <c r="K40" s="89" t="s">
        <v>223</v>
      </c>
      <c r="L40" s="89" t="s">
        <v>70</v>
      </c>
      <c r="M40" s="92"/>
    </row>
    <row r="41" spans="1:13" ht="72.75" thickBot="1" x14ac:dyDescent="0.3">
      <c r="A41" s="89" t="s">
        <v>224</v>
      </c>
      <c r="B41" s="90">
        <v>44497</v>
      </c>
      <c r="C41" s="89"/>
      <c r="D41" s="89" t="s">
        <v>225</v>
      </c>
      <c r="E41" s="89">
        <v>5</v>
      </c>
      <c r="F41" s="91">
        <v>1</v>
      </c>
      <c r="G41" s="76">
        <f t="shared" si="2"/>
        <v>5</v>
      </c>
      <c r="H41" s="89" t="s">
        <v>66</v>
      </c>
      <c r="I41" s="89" t="s">
        <v>226</v>
      </c>
      <c r="J41" s="89" t="s">
        <v>227</v>
      </c>
      <c r="K41" s="89" t="s">
        <v>228</v>
      </c>
      <c r="L41" s="89" t="s">
        <v>70</v>
      </c>
      <c r="M41" s="92"/>
    </row>
    <row r="42" spans="1:13" ht="84.75" thickBot="1" x14ac:dyDescent="0.3">
      <c r="A42" s="89" t="s">
        <v>229</v>
      </c>
      <c r="B42" s="90">
        <v>44623</v>
      </c>
      <c r="C42" s="89"/>
      <c r="D42" s="89" t="s">
        <v>230</v>
      </c>
      <c r="E42" s="89">
        <v>4</v>
      </c>
      <c r="F42" s="91">
        <v>2</v>
      </c>
      <c r="G42" s="76">
        <f t="shared" si="2"/>
        <v>8</v>
      </c>
      <c r="H42" s="89" t="s">
        <v>66</v>
      </c>
      <c r="I42" s="89" t="s">
        <v>231</v>
      </c>
      <c r="J42" s="89" t="s">
        <v>232</v>
      </c>
      <c r="K42" s="89" t="s">
        <v>233</v>
      </c>
      <c r="L42" s="89" t="s">
        <v>70</v>
      </c>
      <c r="M42" s="92"/>
    </row>
    <row r="43" spans="1:13" ht="108.75" thickBot="1" x14ac:dyDescent="0.3">
      <c r="A43" s="89" t="s">
        <v>234</v>
      </c>
      <c r="B43" s="90">
        <v>44690</v>
      </c>
      <c r="C43" s="89" t="s">
        <v>108</v>
      </c>
      <c r="D43" s="89" t="s">
        <v>235</v>
      </c>
      <c r="E43" s="89">
        <v>6</v>
      </c>
      <c r="F43" s="91">
        <v>1</v>
      </c>
      <c r="G43" s="76">
        <f t="shared" si="2"/>
        <v>6</v>
      </c>
      <c r="H43" s="89" t="s">
        <v>66</v>
      </c>
      <c r="I43" s="89" t="s">
        <v>236</v>
      </c>
      <c r="J43" s="89" t="s">
        <v>237</v>
      </c>
      <c r="K43" s="89" t="s">
        <v>238</v>
      </c>
      <c r="L43" s="89" t="s">
        <v>70</v>
      </c>
      <c r="M43" s="92"/>
    </row>
    <row r="44" spans="1:13" ht="132.75" thickBot="1" x14ac:dyDescent="0.3">
      <c r="A44" s="73" t="s">
        <v>239</v>
      </c>
      <c r="B44" s="74">
        <v>44713</v>
      </c>
      <c r="C44" s="75"/>
      <c r="D44" s="75" t="s">
        <v>240</v>
      </c>
      <c r="E44" s="75">
        <v>8</v>
      </c>
      <c r="F44" s="76">
        <v>1</v>
      </c>
      <c r="G44" s="76">
        <f t="shared" si="2"/>
        <v>8</v>
      </c>
      <c r="H44" s="75" t="s">
        <v>241</v>
      </c>
      <c r="I44" s="75" t="s">
        <v>242</v>
      </c>
      <c r="J44" s="75" t="s">
        <v>243</v>
      </c>
      <c r="K44" s="75" t="s">
        <v>244</v>
      </c>
      <c r="L44" s="75" t="s">
        <v>70</v>
      </c>
      <c r="M44" s="77" t="s">
        <v>245</v>
      </c>
    </row>
    <row r="45" spans="1:13" ht="48.75" thickBot="1" x14ac:dyDescent="0.3">
      <c r="A45" s="73" t="s">
        <v>246</v>
      </c>
      <c r="B45" s="74">
        <v>44722</v>
      </c>
      <c r="C45" s="75"/>
      <c r="D45" s="75" t="s">
        <v>247</v>
      </c>
      <c r="E45" s="75">
        <v>6</v>
      </c>
      <c r="F45" s="76">
        <v>2</v>
      </c>
      <c r="G45" s="76">
        <f t="shared" si="2"/>
        <v>12</v>
      </c>
      <c r="H45" s="75" t="s">
        <v>66</v>
      </c>
      <c r="I45" s="75" t="s">
        <v>248</v>
      </c>
      <c r="J45" s="75" t="s">
        <v>249</v>
      </c>
      <c r="K45" s="75" t="s">
        <v>250</v>
      </c>
      <c r="L45" s="75" t="s">
        <v>70</v>
      </c>
      <c r="M45" s="77"/>
    </row>
    <row r="46" spans="1:13" ht="60.75" thickBot="1" x14ac:dyDescent="0.3">
      <c r="A46" s="73" t="s">
        <v>251</v>
      </c>
      <c r="B46" s="74">
        <v>44726</v>
      </c>
      <c r="C46" s="75"/>
      <c r="D46" s="75" t="s">
        <v>252</v>
      </c>
      <c r="E46" s="75">
        <v>4</v>
      </c>
      <c r="F46" s="76">
        <v>1</v>
      </c>
      <c r="G46" s="76">
        <f t="shared" si="2"/>
        <v>4</v>
      </c>
      <c r="H46" s="75" t="s">
        <v>66</v>
      </c>
      <c r="I46" s="75" t="s">
        <v>253</v>
      </c>
      <c r="J46" s="75" t="s">
        <v>254</v>
      </c>
      <c r="K46" s="75" t="s">
        <v>255</v>
      </c>
      <c r="L46" s="75" t="s">
        <v>70</v>
      </c>
      <c r="M46" s="77"/>
    </row>
    <row r="47" spans="1:13" ht="108.75" thickBot="1" x14ac:dyDescent="0.3">
      <c r="A47" s="89" t="s">
        <v>256</v>
      </c>
      <c r="B47" s="90">
        <v>44742</v>
      </c>
      <c r="C47" s="89" t="s">
        <v>108</v>
      </c>
      <c r="D47" s="89" t="s">
        <v>257</v>
      </c>
      <c r="E47" s="89">
        <v>14</v>
      </c>
      <c r="F47" s="91">
        <v>2</v>
      </c>
      <c r="G47" s="76">
        <f t="shared" si="2"/>
        <v>28</v>
      </c>
      <c r="H47" s="89" t="s">
        <v>66</v>
      </c>
      <c r="I47" s="89" t="s">
        <v>258</v>
      </c>
      <c r="J47" s="89" t="s">
        <v>259</v>
      </c>
      <c r="K47" s="89" t="s">
        <v>260</v>
      </c>
      <c r="L47" s="89" t="s">
        <v>70</v>
      </c>
      <c r="M47" s="92"/>
    </row>
    <row r="48" spans="1:13" ht="48.75" thickBot="1" x14ac:dyDescent="0.3">
      <c r="A48" s="73" t="s">
        <v>261</v>
      </c>
      <c r="B48" s="74">
        <v>44833</v>
      </c>
      <c r="C48" s="75"/>
      <c r="D48" s="75" t="s">
        <v>262</v>
      </c>
      <c r="E48" s="75">
        <v>4</v>
      </c>
      <c r="F48" s="76">
        <v>1</v>
      </c>
      <c r="G48" s="76">
        <f>4*1+1*2</f>
        <v>6</v>
      </c>
      <c r="H48" s="75" t="s">
        <v>66</v>
      </c>
      <c r="I48" s="75" t="s">
        <v>263</v>
      </c>
      <c r="J48" s="75" t="s">
        <v>264</v>
      </c>
      <c r="K48" s="75" t="s">
        <v>265</v>
      </c>
      <c r="L48" s="75" t="s">
        <v>70</v>
      </c>
      <c r="M48" s="77"/>
    </row>
    <row r="49" spans="1:13" ht="120.75" thickBot="1" x14ac:dyDescent="0.3">
      <c r="A49" s="89" t="s">
        <v>266</v>
      </c>
      <c r="B49" s="90">
        <v>44216</v>
      </c>
      <c r="C49" s="89"/>
      <c r="D49" s="89" t="s">
        <v>267</v>
      </c>
      <c r="E49" s="89">
        <v>13</v>
      </c>
      <c r="F49" s="91">
        <v>1</v>
      </c>
      <c r="G49" s="76">
        <f t="shared" ref="G49:G60" si="3">E49*F49</f>
        <v>13</v>
      </c>
      <c r="H49" s="89" t="s">
        <v>66</v>
      </c>
      <c r="I49" s="89" t="s">
        <v>268</v>
      </c>
      <c r="J49" s="89" t="s">
        <v>269</v>
      </c>
      <c r="K49" s="89" t="s">
        <v>270</v>
      </c>
      <c r="L49" s="89" t="s">
        <v>86</v>
      </c>
      <c r="M49" s="92"/>
    </row>
    <row r="50" spans="1:13" ht="60.75" thickBot="1" x14ac:dyDescent="0.3">
      <c r="A50" s="89" t="s">
        <v>271</v>
      </c>
      <c r="B50" s="90">
        <v>44482</v>
      </c>
      <c r="C50" s="89"/>
      <c r="D50" s="89" t="s">
        <v>272</v>
      </c>
      <c r="E50" s="89">
        <v>3</v>
      </c>
      <c r="F50" s="91">
        <v>1</v>
      </c>
      <c r="G50" s="76">
        <f t="shared" si="3"/>
        <v>3</v>
      </c>
      <c r="H50" s="89" t="s">
        <v>66</v>
      </c>
      <c r="I50" s="89" t="s">
        <v>273</v>
      </c>
      <c r="J50" s="89" t="s">
        <v>274</v>
      </c>
      <c r="K50" s="89" t="s">
        <v>275</v>
      </c>
      <c r="L50" s="89" t="s">
        <v>86</v>
      </c>
      <c r="M50" s="92"/>
    </row>
    <row r="51" spans="1:13" ht="132.75" thickBot="1" x14ac:dyDescent="0.3">
      <c r="A51" s="89" t="s">
        <v>276</v>
      </c>
      <c r="B51" s="90">
        <v>44613</v>
      </c>
      <c r="C51" s="89"/>
      <c r="D51" s="89" t="s">
        <v>277</v>
      </c>
      <c r="E51" s="89">
        <v>10</v>
      </c>
      <c r="F51" s="91">
        <v>1</v>
      </c>
      <c r="G51" s="76">
        <f t="shared" si="3"/>
        <v>10</v>
      </c>
      <c r="H51" s="89" t="s">
        <v>211</v>
      </c>
      <c r="I51" s="89" t="s">
        <v>278</v>
      </c>
      <c r="J51" s="89" t="s">
        <v>279</v>
      </c>
      <c r="K51" s="89" t="s">
        <v>280</v>
      </c>
      <c r="L51" s="89" t="s">
        <v>86</v>
      </c>
      <c r="M51" s="92"/>
    </row>
    <row r="52" spans="1:13" ht="120.75" thickBot="1" x14ac:dyDescent="0.3">
      <c r="A52" s="73" t="s">
        <v>281</v>
      </c>
      <c r="B52" s="74">
        <v>44650</v>
      </c>
      <c r="C52" s="75"/>
      <c r="D52" s="75" t="s">
        <v>282</v>
      </c>
      <c r="E52" s="75">
        <v>125</v>
      </c>
      <c r="F52" s="76">
        <v>1</v>
      </c>
      <c r="G52" s="76">
        <f t="shared" si="3"/>
        <v>125</v>
      </c>
      <c r="H52" s="75" t="s">
        <v>66</v>
      </c>
      <c r="I52" s="75" t="s">
        <v>283</v>
      </c>
      <c r="J52" s="75" t="s">
        <v>284</v>
      </c>
      <c r="K52" s="75" t="s">
        <v>159</v>
      </c>
      <c r="L52" s="75" t="s">
        <v>86</v>
      </c>
      <c r="M52" s="77"/>
    </row>
    <row r="53" spans="1:13" ht="132.75" thickBot="1" x14ac:dyDescent="0.3">
      <c r="A53" s="89" t="s">
        <v>285</v>
      </c>
      <c r="B53" s="90">
        <v>44684</v>
      </c>
      <c r="C53" s="89" t="s">
        <v>108</v>
      </c>
      <c r="D53" s="89" t="s">
        <v>286</v>
      </c>
      <c r="E53" s="89">
        <v>5</v>
      </c>
      <c r="F53" s="91">
        <v>2</v>
      </c>
      <c r="G53" s="76">
        <f t="shared" si="3"/>
        <v>10</v>
      </c>
      <c r="H53" s="89" t="s">
        <v>66</v>
      </c>
      <c r="I53" s="89" t="s">
        <v>287</v>
      </c>
      <c r="J53" s="89" t="s">
        <v>288</v>
      </c>
      <c r="K53" s="89" t="s">
        <v>289</v>
      </c>
      <c r="L53" s="89" t="s">
        <v>86</v>
      </c>
      <c r="M53" s="92"/>
    </row>
    <row r="54" spans="1:13" ht="84.75" thickBot="1" x14ac:dyDescent="0.3">
      <c r="A54" s="73" t="s">
        <v>290</v>
      </c>
      <c r="B54" s="74">
        <v>44694</v>
      </c>
      <c r="C54" s="75"/>
      <c r="D54" s="75" t="s">
        <v>291</v>
      </c>
      <c r="E54" s="75">
        <v>5</v>
      </c>
      <c r="F54" s="76">
        <v>1</v>
      </c>
      <c r="G54" s="76">
        <f t="shared" si="3"/>
        <v>5</v>
      </c>
      <c r="H54" s="75" t="s">
        <v>66</v>
      </c>
      <c r="I54" s="75" t="s">
        <v>292</v>
      </c>
      <c r="J54" s="75" t="s">
        <v>293</v>
      </c>
      <c r="K54" s="75" t="s">
        <v>294</v>
      </c>
      <c r="L54" s="75" t="s">
        <v>86</v>
      </c>
      <c r="M54" s="77"/>
    </row>
    <row r="55" spans="1:13" ht="108.75" thickBot="1" x14ac:dyDescent="0.3">
      <c r="A55" s="73" t="s">
        <v>295</v>
      </c>
      <c r="B55" s="74">
        <v>44721</v>
      </c>
      <c r="C55" s="75"/>
      <c r="D55" s="75" t="s">
        <v>296</v>
      </c>
      <c r="E55" s="75">
        <v>6</v>
      </c>
      <c r="F55" s="76">
        <v>2</v>
      </c>
      <c r="G55" s="76">
        <f t="shared" si="3"/>
        <v>12</v>
      </c>
      <c r="H55" s="75" t="s">
        <v>66</v>
      </c>
      <c r="I55" s="75" t="s">
        <v>297</v>
      </c>
      <c r="J55" s="75" t="s">
        <v>298</v>
      </c>
      <c r="K55" s="75" t="s">
        <v>299</v>
      </c>
      <c r="L55" s="75" t="s">
        <v>86</v>
      </c>
      <c r="M55" s="77"/>
    </row>
    <row r="56" spans="1:13" ht="108.75" thickBot="1" x14ac:dyDescent="0.3">
      <c r="A56" s="89" t="s">
        <v>300</v>
      </c>
      <c r="B56" s="90">
        <v>44742</v>
      </c>
      <c r="C56" s="89" t="s">
        <v>108</v>
      </c>
      <c r="D56" s="89" t="s">
        <v>301</v>
      </c>
      <c r="E56" s="89">
        <v>7</v>
      </c>
      <c r="F56" s="91">
        <v>2</v>
      </c>
      <c r="G56" s="76">
        <f t="shared" si="3"/>
        <v>14</v>
      </c>
      <c r="H56" s="89" t="s">
        <v>66</v>
      </c>
      <c r="I56" s="89" t="s">
        <v>302</v>
      </c>
      <c r="J56" s="89" t="s">
        <v>303</v>
      </c>
      <c r="K56" s="89" t="s">
        <v>304</v>
      </c>
      <c r="L56" s="89" t="s">
        <v>86</v>
      </c>
      <c r="M56" s="92"/>
    </row>
    <row r="57" spans="1:13" ht="84.75" thickBot="1" x14ac:dyDescent="0.3">
      <c r="A57" s="89" t="s">
        <v>305</v>
      </c>
      <c r="B57" s="90">
        <v>44811</v>
      </c>
      <c r="C57" s="89"/>
      <c r="D57" s="89" t="s">
        <v>306</v>
      </c>
      <c r="E57" s="89">
        <v>6</v>
      </c>
      <c r="F57" s="91">
        <v>2</v>
      </c>
      <c r="G57" s="76">
        <f t="shared" si="3"/>
        <v>12</v>
      </c>
      <c r="H57" s="89" t="s">
        <v>66</v>
      </c>
      <c r="I57" s="89" t="s">
        <v>307</v>
      </c>
      <c r="J57" s="89" t="s">
        <v>308</v>
      </c>
      <c r="K57" s="89" t="s">
        <v>309</v>
      </c>
      <c r="L57" s="89" t="s">
        <v>86</v>
      </c>
      <c r="M57" s="92"/>
    </row>
    <row r="58" spans="1:13" ht="72.75" thickBot="1" x14ac:dyDescent="0.3">
      <c r="A58" s="73" t="s">
        <v>310</v>
      </c>
      <c r="B58" s="74">
        <v>44820</v>
      </c>
      <c r="C58" s="75"/>
      <c r="D58" s="75" t="s">
        <v>311</v>
      </c>
      <c r="E58" s="75">
        <v>11</v>
      </c>
      <c r="F58" s="76">
        <v>1</v>
      </c>
      <c r="G58" s="76">
        <f t="shared" si="3"/>
        <v>11</v>
      </c>
      <c r="H58" s="75" t="s">
        <v>312</v>
      </c>
      <c r="I58" s="75" t="s">
        <v>313</v>
      </c>
      <c r="J58" s="75" t="s">
        <v>314</v>
      </c>
      <c r="K58" s="75" t="s">
        <v>315</v>
      </c>
      <c r="L58" s="75" t="s">
        <v>86</v>
      </c>
      <c r="M58" s="77"/>
    </row>
    <row r="59" spans="1:13" ht="96.75" thickBot="1" x14ac:dyDescent="0.3">
      <c r="A59" s="73" t="s">
        <v>316</v>
      </c>
      <c r="B59" s="74">
        <v>44917</v>
      </c>
      <c r="C59" s="75" t="s">
        <v>108</v>
      </c>
      <c r="D59" s="75" t="s">
        <v>317</v>
      </c>
      <c r="E59" s="75">
        <v>3</v>
      </c>
      <c r="F59" s="76">
        <v>1</v>
      </c>
      <c r="G59" s="76">
        <f t="shared" si="3"/>
        <v>3</v>
      </c>
      <c r="H59" s="75" t="s">
        <v>66</v>
      </c>
      <c r="I59" s="75" t="s">
        <v>318</v>
      </c>
      <c r="J59" s="75" t="s">
        <v>319</v>
      </c>
      <c r="K59" s="75" t="s">
        <v>320</v>
      </c>
      <c r="L59" s="75" t="s">
        <v>86</v>
      </c>
      <c r="M59" s="77"/>
    </row>
    <row r="60" spans="1:13" ht="84.75" thickBot="1" x14ac:dyDescent="0.3">
      <c r="A60" s="73" t="s">
        <v>321</v>
      </c>
      <c r="B60" s="74">
        <v>44958</v>
      </c>
      <c r="C60" s="75"/>
      <c r="D60" s="75" t="s">
        <v>322</v>
      </c>
      <c r="E60" s="75">
        <v>5</v>
      </c>
      <c r="F60" s="76">
        <v>2</v>
      </c>
      <c r="G60" s="76">
        <f t="shared" si="3"/>
        <v>10</v>
      </c>
      <c r="H60" s="75" t="s">
        <v>66</v>
      </c>
      <c r="I60" s="75" t="s">
        <v>142</v>
      </c>
      <c r="J60" s="75" t="s">
        <v>323</v>
      </c>
      <c r="K60" s="75" t="s">
        <v>324</v>
      </c>
      <c r="L60" s="75" t="s">
        <v>86</v>
      </c>
      <c r="M60" s="77"/>
    </row>
    <row r="61" spans="1:13" ht="228.75" thickBot="1" x14ac:dyDescent="0.3">
      <c r="A61" s="73" t="s">
        <v>325</v>
      </c>
      <c r="B61" s="74">
        <v>45097</v>
      </c>
      <c r="C61" s="75" t="s">
        <v>108</v>
      </c>
      <c r="D61" s="75" t="s">
        <v>326</v>
      </c>
      <c r="E61" s="75">
        <v>7</v>
      </c>
      <c r="F61" s="76" t="s">
        <v>327</v>
      </c>
      <c r="G61" s="76">
        <f>3*1+4*2</f>
        <v>11</v>
      </c>
      <c r="H61" s="75" t="s">
        <v>312</v>
      </c>
      <c r="I61" s="75" t="s">
        <v>328</v>
      </c>
      <c r="J61" s="75" t="s">
        <v>329</v>
      </c>
      <c r="K61" s="75" t="s">
        <v>330</v>
      </c>
      <c r="L61" s="75" t="s">
        <v>86</v>
      </c>
      <c r="M61" s="77"/>
    </row>
    <row r="62" spans="1:13" ht="15.75" thickBot="1" x14ac:dyDescent="0.3">
      <c r="A62" s="78" t="s">
        <v>331</v>
      </c>
      <c r="B62" s="79"/>
      <c r="C62" s="80"/>
      <c r="D62" s="80"/>
      <c r="E62" s="80"/>
      <c r="F62" s="81"/>
      <c r="G62" s="81"/>
      <c r="H62" s="80"/>
      <c r="I62" s="80"/>
      <c r="J62" s="80"/>
      <c r="K62" s="80"/>
      <c r="L62" s="80"/>
      <c r="M62" s="83"/>
    </row>
    <row r="63" spans="1:13" ht="15.75" thickBot="1" x14ac:dyDescent="0.3">
      <c r="A63" s="84" t="s">
        <v>70</v>
      </c>
      <c r="B63" s="85"/>
      <c r="C63" s="86"/>
      <c r="D63" s="86"/>
      <c r="E63" s="86"/>
      <c r="F63" s="87"/>
      <c r="G63" s="87"/>
      <c r="H63" s="86"/>
      <c r="I63" s="86"/>
      <c r="J63" s="86"/>
      <c r="K63" s="86"/>
      <c r="L63" s="86">
        <f>N48</f>
        <v>0</v>
      </c>
      <c r="M63" s="88">
        <f>L63/3.5</f>
        <v>0</v>
      </c>
    </row>
    <row r="64" spans="1:13" ht="15.75" thickBot="1" x14ac:dyDescent="0.3">
      <c r="A64" s="84" t="s">
        <v>86</v>
      </c>
      <c r="B64" s="85"/>
      <c r="C64" s="86"/>
      <c r="D64" s="86"/>
      <c r="E64" s="86"/>
      <c r="F64" s="87"/>
      <c r="G64" s="87"/>
      <c r="H64" s="86"/>
      <c r="I64" s="86"/>
      <c r="J64" s="86"/>
      <c r="K64" s="86"/>
      <c r="L64" s="86">
        <f>N61</f>
        <v>0</v>
      </c>
      <c r="M64" s="88">
        <f>L64/3.5</f>
        <v>0</v>
      </c>
    </row>
    <row r="65" spans="1:13" ht="15.75" thickBot="1" x14ac:dyDescent="0.3">
      <c r="A65" s="84" t="s">
        <v>115</v>
      </c>
      <c r="B65" s="85"/>
      <c r="C65" s="86"/>
      <c r="D65" s="86"/>
      <c r="E65" s="86"/>
      <c r="F65" s="87"/>
      <c r="G65" s="87"/>
      <c r="H65" s="86"/>
      <c r="I65" s="86"/>
      <c r="J65" s="86"/>
      <c r="K65" s="86"/>
      <c r="L65" s="86">
        <f>N37</f>
        <v>0</v>
      </c>
      <c r="M65" s="88">
        <f>L65/3.5</f>
        <v>0</v>
      </c>
    </row>
    <row r="66" spans="1:13" ht="15.75" thickBot="1" x14ac:dyDescent="0.3">
      <c r="A66" s="84" t="s">
        <v>192</v>
      </c>
      <c r="B66" s="85"/>
      <c r="C66" s="86"/>
      <c r="D66" s="86"/>
      <c r="E66" s="86"/>
      <c r="F66" s="87"/>
      <c r="G66" s="87"/>
      <c r="H66" s="86"/>
      <c r="I66" s="86"/>
      <c r="J66" s="86"/>
      <c r="K66" s="86"/>
      <c r="L66" s="86"/>
      <c r="M66" s="8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A8923-EB9D-48E2-86C2-D8587AB55D24}">
  <dimension ref="A1:V24"/>
  <sheetViews>
    <sheetView workbookViewId="0">
      <selection activeCell="A24" sqref="A24"/>
    </sheetView>
  </sheetViews>
  <sheetFormatPr defaultColWidth="8.85546875" defaultRowHeight="15" x14ac:dyDescent="0.25"/>
  <cols>
    <col min="1" max="1" width="64.42578125" customWidth="1"/>
    <col min="2" max="2" width="15.42578125" customWidth="1"/>
    <col min="3" max="3" width="15.85546875" customWidth="1"/>
    <col min="4" max="4" width="24.140625" customWidth="1"/>
    <col min="5" max="5" width="18.140625" customWidth="1"/>
    <col min="6" max="6" width="21.28515625" customWidth="1"/>
    <col min="7" max="7" width="19" customWidth="1"/>
    <col min="8" max="9" width="19.7109375" customWidth="1"/>
    <col min="10" max="10" width="25.140625" customWidth="1"/>
    <col min="11" max="11" width="28.85546875" style="55" customWidth="1"/>
    <col min="12" max="12" width="33.5703125" style="55" customWidth="1"/>
    <col min="13" max="13" width="31.140625" style="67" customWidth="1"/>
    <col min="14" max="14" width="25" customWidth="1"/>
    <col min="15" max="15" width="17.42578125" customWidth="1"/>
    <col min="16" max="16" width="23.7109375" customWidth="1"/>
  </cols>
  <sheetData>
    <row r="1" spans="1:22" ht="114" customHeight="1" x14ac:dyDescent="0.25">
      <c r="A1" s="28" t="s">
        <v>2</v>
      </c>
      <c r="B1" s="28" t="s">
        <v>14</v>
      </c>
      <c r="C1" s="28" t="s">
        <v>13</v>
      </c>
      <c r="D1" s="28" t="s">
        <v>31</v>
      </c>
      <c r="E1" s="28" t="s">
        <v>32</v>
      </c>
      <c r="F1" s="28" t="s">
        <v>17</v>
      </c>
      <c r="G1" s="28" t="s">
        <v>18</v>
      </c>
      <c r="H1" s="41" t="s">
        <v>39</v>
      </c>
      <c r="I1" s="41" t="s">
        <v>41</v>
      </c>
      <c r="J1" s="56" t="s">
        <v>35</v>
      </c>
      <c r="K1" s="57" t="s">
        <v>40</v>
      </c>
      <c r="L1" s="59" t="s">
        <v>46</v>
      </c>
      <c r="M1" s="62" t="s">
        <v>45</v>
      </c>
      <c r="N1" s="58" t="s">
        <v>42</v>
      </c>
      <c r="O1" s="58" t="s">
        <v>43</v>
      </c>
      <c r="P1" s="58" t="s">
        <v>44</v>
      </c>
    </row>
    <row r="2" spans="1:22" x14ac:dyDescent="0.25">
      <c r="A2" s="5" t="s">
        <v>9</v>
      </c>
      <c r="B2" s="2"/>
      <c r="C2" s="2"/>
      <c r="D2" s="2"/>
      <c r="E2" s="2"/>
      <c r="F2" s="2"/>
      <c r="G2" s="2"/>
      <c r="H2" s="2"/>
      <c r="I2" s="2"/>
      <c r="J2" s="2"/>
      <c r="K2" s="52"/>
      <c r="L2" s="52"/>
      <c r="M2" s="63"/>
      <c r="N2" s="24"/>
      <c r="O2" s="1"/>
      <c r="P2" s="1"/>
    </row>
    <row r="3" spans="1:22"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 t="shared" ref="H3:H22" si="1">SUM(G3*12)</f>
        <v>679.48353225720007</v>
      </c>
      <c r="I3" s="14">
        <f>SUM(G3*15)</f>
        <v>849.35441532150003</v>
      </c>
      <c r="J3">
        <v>794</v>
      </c>
      <c r="K3" s="53" t="str">
        <f t="shared" ref="K3:K13" si="2">IF(H3-J3&lt;0,"",H3-J3)</f>
        <v/>
      </c>
      <c r="L3" s="53">
        <f>I3-J3</f>
        <v>55.354415321500028</v>
      </c>
      <c r="M3" s="64">
        <f>J3/H3</f>
        <v>1.1685345741380717</v>
      </c>
      <c r="N3" s="55">
        <f t="shared" ref="N3:N13" si="3">J3/G3</f>
        <v>14.022414889656861</v>
      </c>
      <c r="V3" s="51"/>
    </row>
    <row r="4" spans="1:22" x14ac:dyDescent="0.25">
      <c r="A4" s="13" t="s">
        <v>30</v>
      </c>
      <c r="B4" s="46">
        <v>51726.111062000004</v>
      </c>
      <c r="C4" s="14">
        <f t="shared" ref="C4:C22" si="4">SUM(B4/10000)</f>
        <v>5.1726111062000006</v>
      </c>
      <c r="D4" s="46">
        <v>13439.534079000001</v>
      </c>
      <c r="E4" s="49">
        <f t="shared" ref="E4:E22" si="5">SUM(D4/10000)</f>
        <v>1.3439534079000002</v>
      </c>
      <c r="F4" s="16">
        <f t="shared" si="0"/>
        <v>0.25982108074761495</v>
      </c>
      <c r="G4" s="17">
        <f t="shared" ref="G4:G22" si="6">SUM(C4-E4)</f>
        <v>3.8286576983000007</v>
      </c>
      <c r="H4" s="14">
        <f t="shared" si="1"/>
        <v>45.943892379600008</v>
      </c>
      <c r="I4" s="14">
        <f t="shared" ref="I4:I22" si="7">SUM(G4*15)</f>
        <v>57.429865474500012</v>
      </c>
      <c r="J4">
        <v>46</v>
      </c>
      <c r="K4" s="53" t="str">
        <f t="shared" si="2"/>
        <v/>
      </c>
      <c r="L4" s="53">
        <f t="shared" ref="L4:L22" si="8">I4-J4</f>
        <v>11.429865474500012</v>
      </c>
      <c r="M4" s="64">
        <f t="shared" ref="M4:M22" si="9">J4/H4</f>
        <v>1.0012212204385387</v>
      </c>
      <c r="N4" s="55">
        <f t="shared" si="3"/>
        <v>12.014654645262464</v>
      </c>
      <c r="V4" s="51"/>
    </row>
    <row r="5" spans="1:22" x14ac:dyDescent="0.25">
      <c r="A5" s="13" t="s">
        <v>20</v>
      </c>
      <c r="B5" s="46">
        <v>256369.71159699999</v>
      </c>
      <c r="C5" s="14">
        <f t="shared" si="4"/>
        <v>25.6369711597</v>
      </c>
      <c r="D5" s="46">
        <v>76311.278342000005</v>
      </c>
      <c r="E5" s="49">
        <f t="shared" si="5"/>
        <v>7.6311278342000008</v>
      </c>
      <c r="F5" s="16">
        <f t="shared" si="0"/>
        <v>0.29766105311986857</v>
      </c>
      <c r="G5" s="17">
        <f t="shared" si="6"/>
        <v>18.005843325499999</v>
      </c>
      <c r="H5" s="14">
        <f t="shared" si="1"/>
        <v>216.070119906</v>
      </c>
      <c r="I5" s="14">
        <f t="shared" si="7"/>
        <v>270.08764988249999</v>
      </c>
      <c r="J5">
        <v>205</v>
      </c>
      <c r="K5" s="53">
        <f t="shared" si="2"/>
        <v>11.070119906000002</v>
      </c>
      <c r="L5" s="53">
        <f t="shared" si="8"/>
        <v>65.087649882499989</v>
      </c>
      <c r="M5" s="64">
        <f t="shared" si="9"/>
        <v>0.94876607690681158</v>
      </c>
      <c r="N5" s="55">
        <f t="shared" si="3"/>
        <v>11.385192922881739</v>
      </c>
      <c r="V5" s="51"/>
    </row>
    <row r="6" spans="1:22" x14ac:dyDescent="0.25">
      <c r="A6" s="13" t="s">
        <v>21</v>
      </c>
      <c r="B6" s="46">
        <v>690510.08741699997</v>
      </c>
      <c r="C6" s="14">
        <f t="shared" si="4"/>
        <v>69.051008741700002</v>
      </c>
      <c r="D6" s="46">
        <v>138112.65684939999</v>
      </c>
      <c r="E6" s="49">
        <f t="shared" si="5"/>
        <v>13.811265684939999</v>
      </c>
      <c r="F6" s="16">
        <f t="shared" si="0"/>
        <v>0.20001540798055503</v>
      </c>
      <c r="G6" s="17">
        <f t="shared" si="6"/>
        <v>55.239743056760005</v>
      </c>
      <c r="H6" s="14">
        <f t="shared" si="1"/>
        <v>662.87691668112006</v>
      </c>
      <c r="I6" s="14">
        <f t="shared" si="7"/>
        <v>828.59614585140002</v>
      </c>
      <c r="J6">
        <v>166</v>
      </c>
      <c r="K6" s="53">
        <f t="shared" si="2"/>
        <v>496.87691668112006</v>
      </c>
      <c r="L6" s="53">
        <f t="shared" si="8"/>
        <v>662.59614585140002</v>
      </c>
      <c r="M6" s="64">
        <f t="shared" si="9"/>
        <v>0.25042356404734345</v>
      </c>
      <c r="N6" s="55">
        <f t="shared" si="3"/>
        <v>3.005082768568121</v>
      </c>
      <c r="V6" s="51"/>
    </row>
    <row r="7" spans="1:22" x14ac:dyDescent="0.25">
      <c r="A7" s="13" t="s">
        <v>22</v>
      </c>
      <c r="B7" s="46">
        <v>169772.135186</v>
      </c>
      <c r="C7" s="14">
        <f t="shared" si="4"/>
        <v>16.977213518599999</v>
      </c>
      <c r="D7" s="46">
        <v>34020.465459200001</v>
      </c>
      <c r="E7" s="49">
        <f>SUM(D7/10000)</f>
        <v>3.4020465459200002</v>
      </c>
      <c r="F7" s="16">
        <f t="shared" si="0"/>
        <v>0.2003889826909914</v>
      </c>
      <c r="G7" s="17">
        <f t="shared" si="6"/>
        <v>13.575166972679998</v>
      </c>
      <c r="H7" s="14">
        <f t="shared" si="1"/>
        <v>162.90200367215999</v>
      </c>
      <c r="I7" s="14">
        <f t="shared" si="7"/>
        <v>203.62750459019998</v>
      </c>
      <c r="J7" s="14">
        <v>431</v>
      </c>
      <c r="K7" s="53" t="str">
        <f t="shared" si="2"/>
        <v/>
      </c>
      <c r="L7" s="53"/>
      <c r="M7" s="64">
        <f t="shared" si="9"/>
        <v>2.6457624233240664</v>
      </c>
      <c r="N7" s="55">
        <f t="shared" si="3"/>
        <v>31.749149079888802</v>
      </c>
      <c r="Q7" s="51"/>
      <c r="V7" s="51"/>
    </row>
    <row r="8" spans="1:22" x14ac:dyDescent="0.25">
      <c r="A8" s="13" t="s">
        <v>7</v>
      </c>
      <c r="B8" s="46">
        <v>62701.293654000001</v>
      </c>
      <c r="C8" s="14">
        <f t="shared" si="4"/>
        <v>6.2701293653999999</v>
      </c>
      <c r="D8" s="46">
        <v>12540.2</v>
      </c>
      <c r="E8" s="49">
        <f t="shared" si="5"/>
        <v>1.2540200000000001</v>
      </c>
      <c r="F8" s="16">
        <f t="shared" si="0"/>
        <v>0.19999906332395115</v>
      </c>
      <c r="G8" s="17">
        <f t="shared" si="6"/>
        <v>5.0161093654000002</v>
      </c>
      <c r="H8" s="14">
        <f t="shared" si="1"/>
        <v>60.193312384800002</v>
      </c>
      <c r="I8" s="14">
        <f t="shared" si="7"/>
        <v>75.241640481000005</v>
      </c>
      <c r="J8">
        <v>90</v>
      </c>
      <c r="K8" s="53" t="str">
        <f t="shared" si="2"/>
        <v/>
      </c>
      <c r="L8" s="53"/>
      <c r="M8" s="64">
        <f t="shared" si="9"/>
        <v>1.4951827110735108</v>
      </c>
      <c r="N8" s="55">
        <f t="shared" si="3"/>
        <v>17.942192532882128</v>
      </c>
      <c r="Q8" s="51"/>
      <c r="V8" s="51"/>
    </row>
    <row r="9" spans="1:22" x14ac:dyDescent="0.25">
      <c r="A9" s="13" t="s">
        <v>6</v>
      </c>
      <c r="B9" s="46">
        <v>150362.650704</v>
      </c>
      <c r="C9" s="14">
        <f t="shared" si="4"/>
        <v>15.036265070400001</v>
      </c>
      <c r="D9" s="46">
        <v>30072.530140800001</v>
      </c>
      <c r="E9" s="49">
        <f t="shared" si="5"/>
        <v>3.0072530140800002</v>
      </c>
      <c r="F9" s="16">
        <f t="shared" si="0"/>
        <v>0.2</v>
      </c>
      <c r="G9" s="17">
        <f t="shared" si="6"/>
        <v>12.029012056320001</v>
      </c>
      <c r="H9" s="14">
        <f t="shared" si="1"/>
        <v>144.34814467584002</v>
      </c>
      <c r="I9" s="14">
        <f t="shared" si="7"/>
        <v>180.43518084480002</v>
      </c>
      <c r="J9">
        <v>145</v>
      </c>
      <c r="K9" s="53" t="str">
        <f t="shared" si="2"/>
        <v/>
      </c>
      <c r="L9" s="53">
        <f t="shared" si="8"/>
        <v>35.435180844800016</v>
      </c>
      <c r="M9" s="64">
        <f t="shared" si="9"/>
        <v>1.0045158552305875</v>
      </c>
      <c r="N9" s="55">
        <f t="shared" si="3"/>
        <v>12.054190262767049</v>
      </c>
      <c r="Q9" s="51"/>
      <c r="V9" s="51"/>
    </row>
    <row r="10" spans="1:22" x14ac:dyDescent="0.25">
      <c r="A10" s="13" t="s">
        <v>33</v>
      </c>
      <c r="B10" s="46">
        <v>134025.431557</v>
      </c>
      <c r="C10" s="14">
        <f t="shared" si="4"/>
        <v>13.4025431557</v>
      </c>
      <c r="D10" s="46">
        <v>26805.086311400002</v>
      </c>
      <c r="E10" s="49">
        <f t="shared" si="5"/>
        <v>2.6805086311400004</v>
      </c>
      <c r="F10" s="16">
        <f t="shared" si="0"/>
        <v>0.20000000000000004</v>
      </c>
      <c r="G10" s="17">
        <f t="shared" si="6"/>
        <v>10.72203452456</v>
      </c>
      <c r="H10" s="14">
        <f t="shared" si="1"/>
        <v>128.66441429471999</v>
      </c>
      <c r="I10" s="14">
        <f t="shared" si="7"/>
        <v>160.83051786839999</v>
      </c>
      <c r="J10">
        <v>1</v>
      </c>
      <c r="K10" s="53">
        <f t="shared" si="2"/>
        <v>127.66441429471999</v>
      </c>
      <c r="L10" s="53">
        <f t="shared" si="8"/>
        <v>159.83051786839999</v>
      </c>
      <c r="M10" s="64">
        <f t="shared" si="9"/>
        <v>7.772156780734959E-3</v>
      </c>
      <c r="N10" s="55">
        <f t="shared" si="3"/>
        <v>9.3265881368819512E-2</v>
      </c>
      <c r="Q10" s="51"/>
      <c r="V10" s="51"/>
    </row>
    <row r="11" spans="1:22" x14ac:dyDescent="0.25">
      <c r="A11" s="13" t="s">
        <v>1</v>
      </c>
      <c r="B11" s="46">
        <v>59434.235542000002</v>
      </c>
      <c r="C11" s="14">
        <f t="shared" si="4"/>
        <v>5.9434235541999998</v>
      </c>
      <c r="D11" s="46">
        <v>11885.8214948</v>
      </c>
      <c r="E11" s="49">
        <f>SUM(D11/10000)</f>
        <v>1.18858214948</v>
      </c>
      <c r="F11" s="16">
        <f t="shared" si="0"/>
        <v>0.19998274372353497</v>
      </c>
      <c r="G11" s="17">
        <f t="shared" si="6"/>
        <v>4.7548414047199996</v>
      </c>
      <c r="H11" s="14">
        <f t="shared" si="1"/>
        <v>57.058096856639992</v>
      </c>
      <c r="I11" s="14">
        <f t="shared" si="7"/>
        <v>71.322621070799997</v>
      </c>
      <c r="J11">
        <v>37</v>
      </c>
      <c r="K11" s="53">
        <f t="shared" si="2"/>
        <v>20.058096856639992</v>
      </c>
      <c r="L11" s="53">
        <f t="shared" si="8"/>
        <v>34.322621070799997</v>
      </c>
      <c r="M11" s="64">
        <f t="shared" si="9"/>
        <v>0.64846186673494388</v>
      </c>
      <c r="N11" s="55">
        <f t="shared" si="3"/>
        <v>7.7815424008193252</v>
      </c>
      <c r="Q11" s="51"/>
    </row>
    <row r="12" spans="1:22" x14ac:dyDescent="0.25">
      <c r="A12" s="13" t="s">
        <v>0</v>
      </c>
      <c r="B12" s="46">
        <v>155338.66628599999</v>
      </c>
      <c r="C12" s="14">
        <f t="shared" si="4"/>
        <v>15.533866628599998</v>
      </c>
      <c r="D12" s="46">
        <v>31067.607999400003</v>
      </c>
      <c r="E12" s="49">
        <f t="shared" si="5"/>
        <v>3.1067607999400004</v>
      </c>
      <c r="F12" s="16">
        <f t="shared" si="0"/>
        <v>0.19999919364699731</v>
      </c>
      <c r="G12" s="17">
        <f t="shared" si="6"/>
        <v>12.427105828659998</v>
      </c>
      <c r="H12" s="14">
        <f t="shared" si="1"/>
        <v>149.12526994391999</v>
      </c>
      <c r="I12" s="14">
        <f t="shared" si="7"/>
        <v>186.40658742989999</v>
      </c>
      <c r="J12">
        <v>86</v>
      </c>
      <c r="K12" s="53">
        <f t="shared" si="2"/>
        <v>63.125269943919989</v>
      </c>
      <c r="L12" s="53">
        <f t="shared" si="8"/>
        <v>100.40658742989999</v>
      </c>
      <c r="M12" s="64">
        <f t="shared" si="9"/>
        <v>0.57669635758138871</v>
      </c>
      <c r="N12" s="55">
        <f t="shared" si="3"/>
        <v>6.9203562909766649</v>
      </c>
    </row>
    <row r="13" spans="1:22" x14ac:dyDescent="0.25">
      <c r="A13" s="13" t="s">
        <v>34</v>
      </c>
      <c r="B13" s="46">
        <f>C13*10000</f>
        <v>800000</v>
      </c>
      <c r="C13" s="14">
        <f>(G13+E13)</f>
        <v>80</v>
      </c>
      <c r="D13" s="46">
        <f>E13*10000</f>
        <v>133333.33333333334</v>
      </c>
      <c r="E13" s="49">
        <f>G13*F13</f>
        <v>13.333333333333336</v>
      </c>
      <c r="F13" s="16">
        <v>0.2</v>
      </c>
      <c r="G13" s="17">
        <f>H13/12</f>
        <v>66.666666666666671</v>
      </c>
      <c r="H13" s="14">
        <v>800</v>
      </c>
      <c r="I13" s="14">
        <f>G13*15</f>
        <v>1000.0000000000001</v>
      </c>
      <c r="J13">
        <v>50</v>
      </c>
      <c r="K13" s="53">
        <f t="shared" si="2"/>
        <v>750</v>
      </c>
      <c r="L13" s="53">
        <f t="shared" si="8"/>
        <v>950.00000000000011</v>
      </c>
      <c r="M13" s="64">
        <f t="shared" si="9"/>
        <v>6.25E-2</v>
      </c>
      <c r="N13" s="55">
        <f t="shared" si="3"/>
        <v>0.75</v>
      </c>
    </row>
    <row r="14" spans="1:22" x14ac:dyDescent="0.25">
      <c r="A14" s="19" t="s">
        <v>10</v>
      </c>
      <c r="B14" s="47"/>
      <c r="C14" s="20"/>
      <c r="D14" s="47"/>
      <c r="E14" s="50"/>
      <c r="F14" s="23"/>
      <c r="G14" s="24"/>
      <c r="H14" s="24"/>
      <c r="I14" s="24"/>
      <c r="J14" s="24"/>
      <c r="K14" s="24"/>
      <c r="L14" s="24"/>
      <c r="M14" s="23"/>
      <c r="N14" s="24"/>
      <c r="O14" s="55">
        <f>SUM(K3:K13)</f>
        <v>1468.7948176824</v>
      </c>
      <c r="P14" s="55">
        <f>SUM(L3:L13)</f>
        <v>2074.4629837438001</v>
      </c>
      <c r="Q14" s="51"/>
    </row>
    <row r="15" spans="1:22" x14ac:dyDescent="0.25">
      <c r="A15" s="13" t="s">
        <v>23</v>
      </c>
      <c r="B15" s="46">
        <v>378466.59581999999</v>
      </c>
      <c r="C15" s="14">
        <f t="shared" si="4"/>
        <v>37.846659582000001</v>
      </c>
      <c r="D15" s="46">
        <v>75887.199999999997</v>
      </c>
      <c r="E15" s="49">
        <f t="shared" si="5"/>
        <v>7.5887199999999995</v>
      </c>
      <c r="F15" s="29">
        <f>SUM(E15/C15)</f>
        <v>0.20051227991622331</v>
      </c>
      <c r="G15" s="17">
        <f t="shared" si="6"/>
        <v>30.257939582000002</v>
      </c>
      <c r="H15" s="14">
        <f t="shared" si="1"/>
        <v>363.09527498400001</v>
      </c>
      <c r="I15" s="14">
        <f t="shared" si="7"/>
        <v>453.86909373000003</v>
      </c>
      <c r="J15">
        <v>405</v>
      </c>
      <c r="K15" s="53" t="str">
        <f>IF(H15-J15&lt;0,"",H15-J15)</f>
        <v/>
      </c>
      <c r="L15" s="53">
        <f t="shared" si="8"/>
        <v>48.869093730000031</v>
      </c>
      <c r="M15" s="64">
        <f t="shared" si="9"/>
        <v>1.115409722745212</v>
      </c>
      <c r="N15" s="55">
        <f>J15/G15</f>
        <v>13.384916672942545</v>
      </c>
      <c r="Q15" s="51"/>
    </row>
    <row r="16" spans="1:22" x14ac:dyDescent="0.25">
      <c r="A16" s="13" t="s">
        <v>24</v>
      </c>
      <c r="B16" s="46">
        <v>807040.54444099998</v>
      </c>
      <c r="C16" s="14">
        <f t="shared" si="4"/>
        <v>80.704054444099995</v>
      </c>
      <c r="D16" s="46">
        <v>278781.36254100001</v>
      </c>
      <c r="E16" s="49">
        <f t="shared" si="5"/>
        <v>27.878136254099999</v>
      </c>
      <c r="F16" s="29">
        <f>SUM(E16/C16)</f>
        <v>0.3454366257820406</v>
      </c>
      <c r="G16" s="17">
        <f t="shared" si="6"/>
        <v>52.825918189999996</v>
      </c>
      <c r="H16" s="14">
        <f t="shared" si="1"/>
        <v>633.91101828000001</v>
      </c>
      <c r="I16" s="14">
        <f t="shared" si="7"/>
        <v>792.3887728499999</v>
      </c>
      <c r="J16">
        <v>786</v>
      </c>
      <c r="K16" s="53" t="str">
        <f>IF(H16-J16&lt;0,"",H16-J16)</f>
        <v/>
      </c>
      <c r="L16" s="53">
        <f>I16-J16</f>
        <v>6.3887728499998957</v>
      </c>
      <c r="M16" s="64">
        <f t="shared" si="9"/>
        <v>1.2399216567218934</v>
      </c>
      <c r="N16" s="55">
        <f>J16/G16</f>
        <v>14.879059880662721</v>
      </c>
    </row>
    <row r="17" spans="1:17" x14ac:dyDescent="0.25">
      <c r="A17" s="13" t="s">
        <v>25</v>
      </c>
      <c r="B17" s="46">
        <v>878032.50700999994</v>
      </c>
      <c r="C17" s="14">
        <f t="shared" si="4"/>
        <v>87.803250700999996</v>
      </c>
      <c r="D17" s="46">
        <v>225990.34571599998</v>
      </c>
      <c r="E17" s="49">
        <f t="shared" si="5"/>
        <v>22.599034571599997</v>
      </c>
      <c r="F17" s="29">
        <f>SUM(E17/C17)</f>
        <v>0.25738266398082932</v>
      </c>
      <c r="G17" s="17">
        <f t="shared" si="6"/>
        <v>65.204216129399995</v>
      </c>
      <c r="H17" s="14">
        <f t="shared" si="1"/>
        <v>782.4505935528</v>
      </c>
      <c r="I17" s="14">
        <f t="shared" si="7"/>
        <v>978.06324194099989</v>
      </c>
      <c r="J17">
        <v>906</v>
      </c>
      <c r="K17" s="53" t="str">
        <f>IF(H17-J17&lt;0,"",H17-J17)</f>
        <v/>
      </c>
      <c r="L17" s="53">
        <f t="shared" si="8"/>
        <v>72.063241940999887</v>
      </c>
      <c r="M17" s="64">
        <f t="shared" si="9"/>
        <v>1.1579005849892845</v>
      </c>
      <c r="N17" s="55">
        <f>J17/G17</f>
        <v>13.894807019871415</v>
      </c>
    </row>
    <row r="18" spans="1:17" x14ac:dyDescent="0.25">
      <c r="A18" s="19" t="s">
        <v>11</v>
      </c>
      <c r="B18" s="47"/>
      <c r="C18" s="20"/>
      <c r="D18" s="47"/>
      <c r="E18" s="50"/>
      <c r="F18" s="23"/>
      <c r="G18" s="24"/>
      <c r="H18" s="24"/>
      <c r="I18" s="24"/>
      <c r="J18" s="24"/>
      <c r="K18" s="24"/>
      <c r="L18" s="24"/>
      <c r="M18" s="23"/>
      <c r="N18" s="24"/>
      <c r="O18" s="55"/>
      <c r="P18" s="55">
        <f>SUM(L15:L17)</f>
        <v>127.32110852099981</v>
      </c>
      <c r="Q18" s="51"/>
    </row>
    <row r="19" spans="1:17" x14ac:dyDescent="0.25">
      <c r="A19" s="13" t="s">
        <v>26</v>
      </c>
      <c r="B19" s="46">
        <v>307532.18674899999</v>
      </c>
      <c r="C19" s="14">
        <f t="shared" si="4"/>
        <v>30.753218674899998</v>
      </c>
      <c r="D19" s="46">
        <v>61512.395749399999</v>
      </c>
      <c r="E19" s="49">
        <f t="shared" si="5"/>
        <v>6.15123957494</v>
      </c>
      <c r="F19" s="16">
        <f>SUM(E19/C19)</f>
        <v>0.20001937488125388</v>
      </c>
      <c r="G19" s="17">
        <f t="shared" si="6"/>
        <v>24.601979099959998</v>
      </c>
      <c r="H19" s="14">
        <f t="shared" si="1"/>
        <v>295.22374919951994</v>
      </c>
      <c r="I19" s="14">
        <f t="shared" si="7"/>
        <v>369.02968649939999</v>
      </c>
      <c r="J19">
        <v>180</v>
      </c>
      <c r="K19" s="53">
        <f>IF(H19-J19&lt;0,"",H19-J19)</f>
        <v>115.22374919951994</v>
      </c>
      <c r="L19" s="53">
        <f t="shared" si="8"/>
        <v>189.02968649939999</v>
      </c>
      <c r="M19" s="64">
        <f t="shared" si="9"/>
        <v>0.60970704588658031</v>
      </c>
      <c r="N19" s="55">
        <f>J19/G19</f>
        <v>7.3164845506389637</v>
      </c>
    </row>
    <row r="20" spans="1:17" x14ac:dyDescent="0.25">
      <c r="A20" s="13" t="s">
        <v>3</v>
      </c>
      <c r="B20" s="46">
        <v>200437.13983599999</v>
      </c>
      <c r="C20" s="14">
        <f t="shared" si="4"/>
        <v>20.0437139836</v>
      </c>
      <c r="D20" s="46">
        <v>40058.116418800004</v>
      </c>
      <c r="E20" s="49">
        <f t="shared" si="5"/>
        <v>4.0058116418800003</v>
      </c>
      <c r="F20" s="16">
        <f>SUM(E20/C20)</f>
        <v>0.19985376189051599</v>
      </c>
      <c r="G20" s="17">
        <f t="shared" si="6"/>
        <v>16.037902341719999</v>
      </c>
      <c r="H20" s="14">
        <f t="shared" si="1"/>
        <v>192.45482810063999</v>
      </c>
      <c r="I20" s="14">
        <f t="shared" si="7"/>
        <v>240.5685351258</v>
      </c>
      <c r="J20">
        <v>107</v>
      </c>
      <c r="K20" s="53">
        <f>IF(H20-J20&lt;0,"",H20-J20)</f>
        <v>85.454828100639986</v>
      </c>
      <c r="L20" s="53">
        <f t="shared" si="8"/>
        <v>133.5685351258</v>
      </c>
      <c r="M20" s="64">
        <f t="shared" si="9"/>
        <v>0.55597462041350676</v>
      </c>
      <c r="N20" s="55">
        <f>J20/G20</f>
        <v>6.6716954449620802</v>
      </c>
    </row>
    <row r="21" spans="1:17" x14ac:dyDescent="0.25">
      <c r="A21" s="13" t="s">
        <v>8</v>
      </c>
      <c r="B21" s="46">
        <v>1676045.3735789999</v>
      </c>
      <c r="C21" s="14">
        <f t="shared" si="4"/>
        <v>167.6045373579</v>
      </c>
      <c r="D21" s="46">
        <v>501306.09076503944</v>
      </c>
      <c r="E21" s="49">
        <f t="shared" si="5"/>
        <v>50.130609076503944</v>
      </c>
      <c r="F21" s="16">
        <f>SUM(E21/C21)</f>
        <v>0.29910054862927643</v>
      </c>
      <c r="G21" s="17">
        <f t="shared" si="6"/>
        <v>117.47392828139606</v>
      </c>
      <c r="H21" s="14">
        <f t="shared" si="1"/>
        <v>1409.6871393767526</v>
      </c>
      <c r="I21" s="14">
        <f t="shared" si="7"/>
        <v>1762.1089242209409</v>
      </c>
      <c r="J21">
        <v>1565</v>
      </c>
      <c r="K21" s="53" t="str">
        <f>IF(H21-J21&lt;0,"",H21-J21)</f>
        <v/>
      </c>
      <c r="L21" s="53">
        <f t="shared" si="8"/>
        <v>197.10892422094093</v>
      </c>
      <c r="M21" s="64">
        <f t="shared" si="9"/>
        <v>1.110175411468898</v>
      </c>
      <c r="N21" s="55">
        <f>J21/G21</f>
        <v>13.322104937626774</v>
      </c>
    </row>
    <row r="22" spans="1:17" x14ac:dyDescent="0.25">
      <c r="A22" s="13" t="s">
        <v>27</v>
      </c>
      <c r="B22" s="46">
        <v>1256295.495254</v>
      </c>
      <c r="C22" s="14">
        <f t="shared" si="4"/>
        <v>125.62954952539999</v>
      </c>
      <c r="D22" s="46">
        <v>251366.69855280002</v>
      </c>
      <c r="E22" s="49">
        <f t="shared" si="5"/>
        <v>25.136669855280001</v>
      </c>
      <c r="F22" s="16">
        <f>SUM(E22/C22)</f>
        <v>0.20008564824311359</v>
      </c>
      <c r="G22" s="17">
        <f t="shared" si="6"/>
        <v>100.49287967011999</v>
      </c>
      <c r="H22" s="14">
        <f t="shared" si="1"/>
        <v>1205.9145560414399</v>
      </c>
      <c r="I22" s="14">
        <f t="shared" si="7"/>
        <v>1507.3931950517999</v>
      </c>
      <c r="J22">
        <v>995</v>
      </c>
      <c r="K22" s="53">
        <f>IF(H22-J22&lt;0,"",H22-J22)</f>
        <v>210.91455604143994</v>
      </c>
      <c r="L22" s="53">
        <f t="shared" si="8"/>
        <v>512.39319505179992</v>
      </c>
      <c r="M22" s="64">
        <f t="shared" si="9"/>
        <v>0.82509991691800089</v>
      </c>
      <c r="N22" s="55">
        <f>J22/G22</f>
        <v>9.9011990030160106</v>
      </c>
    </row>
    <row r="23" spans="1:17" x14ac:dyDescent="0.25">
      <c r="A23" s="4" t="s">
        <v>4</v>
      </c>
      <c r="B23" s="48">
        <f>SUM(B3:B22)</f>
        <v>8766376.3442049995</v>
      </c>
      <c r="C23" s="27">
        <f>SUM(C3:C22)</f>
        <v>876.63763442049992</v>
      </c>
      <c r="D23" s="48">
        <f>SUM(D3:D22)</f>
        <v>2108540.6253823726</v>
      </c>
      <c r="E23" s="27">
        <f>SUM(E3:E22)</f>
        <v>210.85406253823726</v>
      </c>
      <c r="F23" s="11"/>
      <c r="G23" s="27">
        <f t="shared" ref="G23:L23" si="10">SUM(G3:G22)</f>
        <v>665.78357188226266</v>
      </c>
      <c r="H23" s="11">
        <f t="shared" si="10"/>
        <v>7989.4028625871533</v>
      </c>
      <c r="I23" s="11">
        <f t="shared" si="10"/>
        <v>9986.7535782339382</v>
      </c>
      <c r="J23" s="11">
        <f t="shared" si="10"/>
        <v>6995</v>
      </c>
      <c r="K23" s="11">
        <f t="shared" si="10"/>
        <v>1880.3879510239999</v>
      </c>
      <c r="L23" s="11">
        <f t="shared" si="10"/>
        <v>3233.8844331627406</v>
      </c>
      <c r="M23" s="65"/>
      <c r="N23" s="65"/>
      <c r="O23" s="61">
        <f>SUM(K19:K22)</f>
        <v>411.59313334159987</v>
      </c>
      <c r="P23" s="61">
        <f>SUM(L19:L22)</f>
        <v>1032.1003408979409</v>
      </c>
      <c r="Q23" s="51"/>
    </row>
    <row r="24" spans="1:17" x14ac:dyDescent="0.25">
      <c r="L24" s="60"/>
      <c r="M24" s="66"/>
      <c r="N24" s="55"/>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B7D8-F271-449E-9CDB-0F6436179B2F}">
  <sheetPr>
    <pageSetUpPr fitToPage="1"/>
  </sheetPr>
  <dimension ref="A1:S23"/>
  <sheetViews>
    <sheetView workbookViewId="0">
      <pane xSplit="1" ySplit="1" topLeftCell="F2" activePane="bottomRight" state="frozen"/>
      <selection pane="topRight" activeCell="B1" sqref="B1"/>
      <selection pane="bottomLeft" activeCell="A2" sqref="A2"/>
      <selection pane="bottomRight" activeCell="J19" sqref="J19"/>
    </sheetView>
  </sheetViews>
  <sheetFormatPr defaultColWidth="8.85546875" defaultRowHeight="15" x14ac:dyDescent="0.25"/>
  <cols>
    <col min="1" max="1" width="72.140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37</v>
      </c>
      <c r="B1" s="28" t="s">
        <v>14</v>
      </c>
      <c r="C1" s="28" t="s">
        <v>13</v>
      </c>
      <c r="D1" s="28" t="s">
        <v>31</v>
      </c>
      <c r="E1" s="28" t="s">
        <v>32</v>
      </c>
      <c r="F1" s="28" t="s">
        <v>17</v>
      </c>
      <c r="G1" s="28" t="s">
        <v>18</v>
      </c>
      <c r="H1" s="41" t="s">
        <v>36</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783</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19" si="4">SUM(G4*12)</f>
        <v>45.943892379600008</v>
      </c>
      <c r="I4" s="14">
        <v>46</v>
      </c>
      <c r="J4" s="14">
        <f t="shared" ref="J4:J12" si="5">H4-I4</f>
        <v>-5.6107620399991731E-2</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201</v>
      </c>
      <c r="J5" s="14">
        <f t="shared" si="5"/>
        <v>15.070119906000002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156</v>
      </c>
      <c r="J6" s="14">
        <f t="shared" si="5"/>
        <v>506.87691668112006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431</v>
      </c>
      <c r="J7" s="14"/>
      <c r="K7" s="55"/>
      <c r="N7" s="51"/>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80</v>
      </c>
      <c r="J8" s="14"/>
      <c r="K8" s="55"/>
      <c r="N8" s="51"/>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142</v>
      </c>
      <c r="J9" s="14">
        <f t="shared" si="5"/>
        <v>2.3481446758400182</v>
      </c>
      <c r="K9" s="55"/>
      <c r="N9" s="51"/>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N10" s="51"/>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37</v>
      </c>
      <c r="J11" s="14">
        <f t="shared" si="5"/>
        <v>20.058096856639992</v>
      </c>
      <c r="K11" s="55"/>
      <c r="N11" s="51"/>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87</v>
      </c>
      <c r="J12" s="14">
        <f t="shared" si="5"/>
        <v>62.125269943919989</v>
      </c>
      <c r="K12" s="55"/>
    </row>
    <row r="13" spans="1:19" x14ac:dyDescent="0.25">
      <c r="A13" s="19" t="s">
        <v>10</v>
      </c>
      <c r="B13" s="47"/>
      <c r="C13" s="20"/>
      <c r="D13" s="47"/>
      <c r="E13" s="50"/>
      <c r="F13" s="23"/>
      <c r="G13" s="24"/>
      <c r="H13" s="43"/>
      <c r="I13" s="43"/>
      <c r="J13" s="54"/>
      <c r="K13" s="55"/>
      <c r="L13" s="51"/>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306</v>
      </c>
      <c r="J14" s="14">
        <f>H14-I14</f>
        <v>57.095274984000014</v>
      </c>
      <c r="K14" s="55"/>
      <c r="N14" s="51"/>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708</v>
      </c>
      <c r="J15" s="14"/>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906</v>
      </c>
      <c r="J16" s="14"/>
      <c r="K16" s="55"/>
      <c r="L16" s="51"/>
    </row>
    <row r="17" spans="1:13" x14ac:dyDescent="0.25">
      <c r="A17" s="19" t="s">
        <v>11</v>
      </c>
      <c r="B17" s="47"/>
      <c r="C17" s="20"/>
      <c r="D17" s="47"/>
      <c r="E17" s="50"/>
      <c r="F17" s="23"/>
      <c r="G17" s="24"/>
      <c r="H17" s="26"/>
      <c r="I17" s="43"/>
      <c r="J17" s="54"/>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181</v>
      </c>
      <c r="J18" s="14">
        <f t="shared" ref="J18:J22" si="6">H18-I18</f>
        <v>114.22374919951994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109</v>
      </c>
      <c r="J19" s="14">
        <f t="shared" si="6"/>
        <v>83.454828100639986</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ref="H20:H21" si="7">SUM(G20*12)</f>
        <v>1409.6871393767526</v>
      </c>
      <c r="I20" s="14">
        <v>1562</v>
      </c>
      <c r="J20" s="14"/>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7"/>
        <v>1205.9145560414399</v>
      </c>
      <c r="I21" s="30">
        <v>617</v>
      </c>
      <c r="J21" s="14">
        <f t="shared" si="6"/>
        <v>588.91455604143994</v>
      </c>
      <c r="K21" s="55"/>
    </row>
    <row r="22" spans="1:13" x14ac:dyDescent="0.25">
      <c r="A22" s="13" t="s">
        <v>38</v>
      </c>
      <c r="B22" s="46"/>
      <c r="C22" s="14"/>
      <c r="D22" s="46"/>
      <c r="E22" s="49"/>
      <c r="F22" s="16"/>
      <c r="G22" s="17"/>
      <c r="H22" s="14">
        <v>800</v>
      </c>
      <c r="I22" s="30">
        <v>20</v>
      </c>
      <c r="J22" s="14">
        <f t="shared" si="6"/>
        <v>780</v>
      </c>
      <c r="K22" s="55"/>
      <c r="L22" s="51"/>
    </row>
    <row r="23" spans="1:13" x14ac:dyDescent="0.25">
      <c r="A23" s="4" t="s">
        <v>4</v>
      </c>
      <c r="B23" s="48">
        <f>SUM(B3:B21)</f>
        <v>7966376.3442050004</v>
      </c>
      <c r="C23" s="27">
        <f>SUM(C3:C21)</f>
        <v>796.63763442049992</v>
      </c>
      <c r="D23" s="48">
        <f>SUM(D3:D21)</f>
        <v>1975207.2920490394</v>
      </c>
      <c r="E23" s="27">
        <f>SUM(E3:E21)</f>
        <v>197.52072920490394</v>
      </c>
      <c r="F23" s="11"/>
      <c r="G23" s="27">
        <f>SUM(G3:G21)</f>
        <v>599.11690521559603</v>
      </c>
      <c r="H23" s="11">
        <f>SUM(H3:H22)</f>
        <v>8202.5008589149911</v>
      </c>
      <c r="I23" s="11">
        <f>SUM(I3:I22)</f>
        <v>6373</v>
      </c>
      <c r="J23" s="11">
        <f>SUMIFS(J6:J21,J6:J21,"&gt;0")</f>
        <v>1562.7612507778399</v>
      </c>
      <c r="L23" s="3"/>
      <c r="M23" s="3"/>
    </row>
  </sheetData>
  <pageMargins left="0.7" right="0.7" top="0.75" bottom="0.75" header="0.3" footer="0.3"/>
  <pageSetup paperSize="9" scale="53"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5FD95-C1AF-4CB3-A087-DD5861641317}">
  <sheetPr>
    <pageSetUpPr fitToPage="1"/>
  </sheetPr>
  <dimension ref="A1:S23"/>
  <sheetViews>
    <sheetView workbookViewId="0">
      <pane xSplit="1" ySplit="1" topLeftCell="B2" activePane="bottomRight" state="frozen"/>
      <selection pane="topRight" activeCell="B1" sqref="B1"/>
      <selection pane="bottomLeft" activeCell="A2" sqref="A2"/>
      <selection pane="bottomRight" activeCell="J20" sqref="J20"/>
    </sheetView>
  </sheetViews>
  <sheetFormatPr defaultColWidth="8.85546875" defaultRowHeight="15" x14ac:dyDescent="0.25"/>
  <cols>
    <col min="1" max="1" width="27.710937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2"/>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778</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46</v>
      </c>
      <c r="J4" s="14">
        <f t="shared" ref="J4:J21" si="5">H4-I4</f>
        <v>-5.6107620399991731E-2</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199</v>
      </c>
      <c r="J5" s="14">
        <f t="shared" si="5"/>
        <v>17.070119906000002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83</v>
      </c>
      <c r="J6" s="14">
        <f t="shared" si="5"/>
        <v>579.87691668112006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429</v>
      </c>
      <c r="J7" s="14"/>
      <c r="K7" s="55"/>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69</v>
      </c>
      <c r="J8" s="14"/>
      <c r="K8" s="55"/>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137</v>
      </c>
      <c r="J9" s="14">
        <f t="shared" si="5"/>
        <v>7.3481446758400182</v>
      </c>
      <c r="K9" s="55"/>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82</v>
      </c>
      <c r="J12" s="14">
        <f t="shared" si="5"/>
        <v>67.125269943919989</v>
      </c>
      <c r="K12" s="55"/>
    </row>
    <row r="13" spans="1:19" x14ac:dyDescent="0.25">
      <c r="A13" s="19" t="s">
        <v>10</v>
      </c>
      <c r="B13" s="47"/>
      <c r="C13" s="20"/>
      <c r="D13" s="47"/>
      <c r="E13" s="50"/>
      <c r="F13" s="23"/>
      <c r="G13" s="24"/>
      <c r="H13" s="43"/>
      <c r="I13" s="43"/>
      <c r="J13" s="43"/>
      <c r="K13" s="43"/>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195</v>
      </c>
      <c r="J14" s="14">
        <f t="shared" si="5"/>
        <v>168.09527498400001</v>
      </c>
      <c r="K14" s="55"/>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640</v>
      </c>
      <c r="J15" s="14"/>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899</v>
      </c>
      <c r="J16" s="14"/>
      <c r="K16" s="55"/>
    </row>
    <row r="17" spans="1:11" x14ac:dyDescent="0.25">
      <c r="A17" s="19" t="s">
        <v>11</v>
      </c>
      <c r="B17" s="47"/>
      <c r="C17" s="20"/>
      <c r="D17" s="47"/>
      <c r="E17" s="50"/>
      <c r="F17" s="23"/>
      <c r="G17" s="24"/>
      <c r="H17" s="26"/>
      <c r="I17" s="43"/>
      <c r="J17" s="43"/>
      <c r="K17" s="43"/>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177</v>
      </c>
      <c r="J18" s="14">
        <f t="shared" si="5"/>
        <v>118.22374919951994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27</v>
      </c>
      <c r="J19" s="14">
        <f t="shared" si="5"/>
        <v>165.45482810063999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1431</v>
      </c>
      <c r="J20" s="14"/>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355</v>
      </c>
      <c r="J21" s="14">
        <f t="shared" si="5"/>
        <v>850.91455604143994</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5584</v>
      </c>
      <c r="J22" s="11">
        <f>SUMIFS(J3:J21,J3:J21,"&gt;0")</f>
        <v>2122.8313706838399</v>
      </c>
      <c r="K22" s="3"/>
    </row>
    <row r="23" spans="1:11" x14ac:dyDescent="0.25">
      <c r="B23" s="3"/>
      <c r="C23" s="3"/>
      <c r="D23" s="3"/>
      <c r="E23" s="3"/>
      <c r="F23" s="3"/>
      <c r="G23" s="3"/>
      <c r="H23" s="3"/>
    </row>
  </sheetData>
  <pageMargins left="0.7" right="0.7" top="0.75" bottom="0.75" header="0.3" footer="0.3"/>
  <pageSetup paperSize="9" scale="53"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22"/>
  <sheetViews>
    <sheetView workbookViewId="0">
      <pane xSplit="1" ySplit="1" topLeftCell="B2" activePane="bottomRight" state="frozen"/>
      <selection pane="topRight" activeCell="B1" sqref="B1"/>
      <selection pane="bottomLeft" activeCell="A2" sqref="A2"/>
      <selection pane="bottomRight" activeCell="J15" sqref="J15"/>
    </sheetView>
  </sheetViews>
  <sheetFormatPr defaultColWidth="8.85546875" defaultRowHeight="15" x14ac:dyDescent="0.25"/>
  <cols>
    <col min="1" max="1" width="27.710937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778</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46</v>
      </c>
      <c r="J4" s="14">
        <f t="shared" ref="J4:J21" si="5">H4-I4</f>
        <v>-5.6107620399991731E-2</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199</v>
      </c>
      <c r="J5" s="14">
        <f t="shared" si="5"/>
        <v>17.070119906000002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83</v>
      </c>
      <c r="J6" s="14">
        <f t="shared" si="5"/>
        <v>579.87691668112006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429</v>
      </c>
      <c r="J7" s="14"/>
      <c r="K7" s="55"/>
      <c r="N7" s="51"/>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69</v>
      </c>
      <c r="J8" s="14"/>
      <c r="K8" s="55"/>
      <c r="N8" s="51"/>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137</v>
      </c>
      <c r="J9" s="14">
        <f t="shared" si="5"/>
        <v>7.3481446758400182</v>
      </c>
      <c r="K9" s="55"/>
      <c r="N9" s="51"/>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N10" s="51"/>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c r="N11" s="51"/>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82</v>
      </c>
      <c r="J12" s="14">
        <f t="shared" si="5"/>
        <v>67.125269943919989</v>
      </c>
      <c r="K12" s="55"/>
    </row>
    <row r="13" spans="1:19" x14ac:dyDescent="0.25">
      <c r="A13" s="19" t="s">
        <v>10</v>
      </c>
      <c r="B13" s="47"/>
      <c r="C13" s="20"/>
      <c r="D13" s="47"/>
      <c r="E13" s="50"/>
      <c r="F13" s="23"/>
      <c r="G13" s="24"/>
      <c r="H13" s="43"/>
      <c r="I13" s="43"/>
      <c r="J13" s="14"/>
      <c r="K13" s="55"/>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195</v>
      </c>
      <c r="J14" s="14">
        <f t="shared" si="5"/>
        <v>168.09527498400001</v>
      </c>
      <c r="K14" s="55"/>
      <c r="N14" s="51"/>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640</v>
      </c>
      <c r="J15" s="14"/>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899</v>
      </c>
      <c r="J16" s="14"/>
      <c r="K16" s="55"/>
    </row>
    <row r="17" spans="1:13" x14ac:dyDescent="0.25">
      <c r="A17" s="19" t="s">
        <v>11</v>
      </c>
      <c r="B17" s="47"/>
      <c r="C17" s="20"/>
      <c r="D17" s="47"/>
      <c r="E17" s="50"/>
      <c r="F17" s="23"/>
      <c r="G17" s="24"/>
      <c r="H17" s="26"/>
      <c r="I17" s="43"/>
      <c r="J17" s="14"/>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177</v>
      </c>
      <c r="J18" s="14">
        <f t="shared" si="5"/>
        <v>118.22374919951994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27</v>
      </c>
      <c r="J19" s="14">
        <f t="shared" si="5"/>
        <v>165.45482810063999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1431</v>
      </c>
      <c r="J20" s="14"/>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355</v>
      </c>
      <c r="J21" s="14">
        <f t="shared" si="5"/>
        <v>850.91455604143994</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5584</v>
      </c>
      <c r="J22" s="11">
        <f>SUMIFS(J3:J21,J3:J21,"&gt;0")</f>
        <v>2122.8313706838399</v>
      </c>
      <c r="K22" s="3"/>
      <c r="L22" s="3"/>
      <c r="M22" s="3"/>
    </row>
  </sheetData>
  <pageMargins left="0.7" right="0.7" top="0.75" bottom="0.75" header="0.3" footer="0.3"/>
  <pageSetup paperSize="9"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22"/>
  <sheetViews>
    <sheetView workbookViewId="0">
      <pane xSplit="1" ySplit="1" topLeftCell="B2" activePane="bottomRight" state="frozen"/>
      <selection pane="topRight" activeCell="B1" sqref="B1"/>
      <selection pane="bottomLeft" activeCell="A2" sqref="A2"/>
      <selection pane="bottomRight" activeCell="J20" sqref="J20"/>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778</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46</v>
      </c>
      <c r="J4" s="14">
        <f t="shared" ref="J4:J21" si="5">H4-I4</f>
        <v>-5.6107620399991731E-2</v>
      </c>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199</v>
      </c>
      <c r="J5" s="14">
        <f t="shared" si="5"/>
        <v>17.070119906000002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83</v>
      </c>
      <c r="J6" s="14">
        <f t="shared" si="5"/>
        <v>579.87691668112006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429</v>
      </c>
      <c r="J7" s="14"/>
      <c r="K7" s="55"/>
      <c r="N7" s="51"/>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69</v>
      </c>
      <c r="J8" s="14"/>
      <c r="K8" s="55"/>
      <c r="N8" s="51"/>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137</v>
      </c>
      <c r="J9" s="14">
        <f t="shared" si="5"/>
        <v>7.3481446758400182</v>
      </c>
      <c r="K9" s="55"/>
      <c r="N9" s="51"/>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N10" s="51"/>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c r="N11" s="51"/>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82</v>
      </c>
      <c r="J12" s="14">
        <f t="shared" si="5"/>
        <v>67.125269943919989</v>
      </c>
      <c r="K12" s="55"/>
    </row>
    <row r="13" spans="1:19" x14ac:dyDescent="0.25">
      <c r="A13" s="19" t="s">
        <v>10</v>
      </c>
      <c r="B13" s="47"/>
      <c r="C13" s="20"/>
      <c r="D13" s="47"/>
      <c r="E13" s="50"/>
      <c r="F13" s="23"/>
      <c r="G13" s="24"/>
      <c r="H13" s="43"/>
      <c r="I13" s="43"/>
      <c r="J13" s="14">
        <f t="shared" si="5"/>
        <v>0</v>
      </c>
      <c r="K13" s="55"/>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195</v>
      </c>
      <c r="J14" s="14">
        <f t="shared" si="5"/>
        <v>168.09527498400001</v>
      </c>
      <c r="K14" s="55"/>
      <c r="N14" s="51"/>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640</v>
      </c>
      <c r="J15" s="14"/>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899</v>
      </c>
      <c r="J16" s="14"/>
      <c r="K16" s="55"/>
    </row>
    <row r="17" spans="1:11" x14ac:dyDescent="0.25">
      <c r="A17" s="19" t="s">
        <v>11</v>
      </c>
      <c r="B17" s="47"/>
      <c r="C17" s="20"/>
      <c r="D17" s="47"/>
      <c r="E17" s="50"/>
      <c r="F17" s="23"/>
      <c r="G17" s="24"/>
      <c r="H17" s="26"/>
      <c r="I17" s="43"/>
      <c r="J17" s="14">
        <f t="shared" si="5"/>
        <v>0</v>
      </c>
      <c r="K17" s="55"/>
    </row>
    <row r="18" spans="1:11"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177</v>
      </c>
      <c r="J18" s="14">
        <f t="shared" si="5"/>
        <v>118.22374919951994</v>
      </c>
      <c r="K18" s="55"/>
    </row>
    <row r="19" spans="1:11"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27</v>
      </c>
      <c r="J19" s="14">
        <f t="shared" si="5"/>
        <v>165.45482810063999</v>
      </c>
      <c r="K19" s="55"/>
    </row>
    <row r="20" spans="1:11"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1431</v>
      </c>
      <c r="J20" s="14"/>
      <c r="K20" s="55"/>
    </row>
    <row r="21" spans="1:11"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355</v>
      </c>
      <c r="J21" s="14">
        <f t="shared" si="5"/>
        <v>850.91455604143994</v>
      </c>
      <c r="K21" s="55"/>
    </row>
    <row r="22" spans="1:11"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SUMIFS(I3:I21,I3:I21,"&gt;0")</f>
        <v>5584</v>
      </c>
      <c r="J22" s="11">
        <f>SUMIFS(J3:J21,J3:J21,"&gt;0")</f>
        <v>2122.8313706838399</v>
      </c>
      <c r="K22" s="3"/>
    </row>
  </sheetData>
  <pageMargins left="0.7" right="0.7" top="0.75" bottom="0.75" header="0.3" footer="0.3"/>
  <pageSetup paperSize="9" scale="53"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23"/>
  <sheetViews>
    <sheetView workbookViewId="0">
      <pane xSplit="1" ySplit="1" topLeftCell="E2" activePane="bottomRight" state="frozen"/>
      <selection pane="topRight" activeCell="B1" sqref="B1"/>
      <selection pane="bottomLeft" activeCell="A2" sqref="A2"/>
      <selection pane="bottomRight" activeCell="J4" sqref="J4"/>
    </sheetView>
  </sheetViews>
  <sheetFormatPr defaultColWidth="8.85546875" defaultRowHeight="15" x14ac:dyDescent="0.25"/>
  <cols>
    <col min="1" max="1" width="29.28515625" customWidth="1"/>
    <col min="2" max="2" width="15.42578125" customWidth="1"/>
    <col min="3" max="3" width="15.85546875" customWidth="1"/>
    <col min="4" max="4" width="24.140625" customWidth="1"/>
    <col min="5" max="5" width="18.140625" customWidth="1"/>
    <col min="6" max="6" width="21.28515625" customWidth="1"/>
    <col min="7" max="7" width="19" customWidth="1"/>
    <col min="8" max="8" width="19.7109375" customWidth="1"/>
    <col min="9" max="9" width="25.42578125" customWidth="1"/>
    <col min="10" max="10" width="28.85546875" customWidth="1"/>
    <col min="11" max="11" width="25" customWidth="1"/>
  </cols>
  <sheetData>
    <row r="1" spans="1:19" ht="114" customHeight="1" x14ac:dyDescent="0.25">
      <c r="A1" s="28" t="s">
        <v>2</v>
      </c>
      <c r="B1" s="28" t="s">
        <v>14</v>
      </c>
      <c r="C1" s="28" t="s">
        <v>13</v>
      </c>
      <c r="D1" s="28" t="s">
        <v>31</v>
      </c>
      <c r="E1" s="28" t="s">
        <v>32</v>
      </c>
      <c r="F1" s="28" t="s">
        <v>17</v>
      </c>
      <c r="G1" s="28" t="s">
        <v>18</v>
      </c>
      <c r="H1" s="41" t="s">
        <v>28</v>
      </c>
      <c r="I1" s="56" t="s">
        <v>35</v>
      </c>
      <c r="J1" s="42" t="s">
        <v>29</v>
      </c>
      <c r="K1" s="58"/>
      <c r="L1" s="1"/>
      <c r="M1" s="1"/>
    </row>
    <row r="2" spans="1:19" x14ac:dyDescent="0.25">
      <c r="A2" s="5" t="s">
        <v>9</v>
      </c>
      <c r="B2" s="2"/>
      <c r="C2" s="2"/>
      <c r="D2" s="2"/>
      <c r="E2" s="2"/>
      <c r="F2" s="2"/>
      <c r="G2" s="2"/>
      <c r="H2" s="2"/>
      <c r="I2" s="2"/>
      <c r="J2" s="2"/>
      <c r="K2" s="1"/>
      <c r="L2" s="1"/>
      <c r="M2" s="1"/>
    </row>
    <row r="3" spans="1:19" x14ac:dyDescent="0.25">
      <c r="A3" s="12" t="s">
        <v>5</v>
      </c>
      <c r="B3" s="46">
        <v>732286.17851100001</v>
      </c>
      <c r="C3" s="14">
        <f>SUM(B3/10000)</f>
        <v>73.228617851099997</v>
      </c>
      <c r="D3" s="46">
        <v>166049.90163000001</v>
      </c>
      <c r="E3" s="49">
        <f>SUM(D3/10000)</f>
        <v>16.604990163</v>
      </c>
      <c r="F3" s="29">
        <f t="shared" ref="F3:F12" si="0">SUM(E3/C3)</f>
        <v>0.22675547689243419</v>
      </c>
      <c r="G3" s="17">
        <f>SUM(C3-E3)</f>
        <v>56.623627688100001</v>
      </c>
      <c r="H3" s="14">
        <f>SUM(G3*12)</f>
        <v>679.48353225720007</v>
      </c>
      <c r="I3" s="14">
        <v>766</v>
      </c>
      <c r="J3" s="14"/>
      <c r="K3" s="55"/>
      <c r="S3" s="51"/>
    </row>
    <row r="4" spans="1:19" x14ac:dyDescent="0.25">
      <c r="A4" s="13" t="s">
        <v>30</v>
      </c>
      <c r="B4" s="46">
        <v>51726.111062000004</v>
      </c>
      <c r="C4" s="14">
        <f t="shared" ref="C4:C21" si="1">SUM(B4/10000)</f>
        <v>5.1726111062000006</v>
      </c>
      <c r="D4" s="46">
        <v>13439.534079000001</v>
      </c>
      <c r="E4" s="49">
        <f t="shared" ref="E4:E21" si="2">SUM(D4/10000)</f>
        <v>1.3439534079000002</v>
      </c>
      <c r="F4" s="16">
        <f t="shared" si="0"/>
        <v>0.25982108074761495</v>
      </c>
      <c r="G4" s="17">
        <f t="shared" ref="G4:G21" si="3">SUM(C4-E4)</f>
        <v>3.8286576983000007</v>
      </c>
      <c r="H4" s="14">
        <f t="shared" ref="H4:H21" si="4">SUM(G4*12)</f>
        <v>45.943892379600008</v>
      </c>
      <c r="I4" s="14">
        <v>46</v>
      </c>
      <c r="J4" s="14"/>
      <c r="K4" s="55"/>
      <c r="S4" s="51"/>
    </row>
    <row r="5" spans="1:19" x14ac:dyDescent="0.25">
      <c r="A5" s="13" t="s">
        <v>20</v>
      </c>
      <c r="B5" s="46">
        <v>256369.71159699999</v>
      </c>
      <c r="C5" s="14">
        <f t="shared" si="1"/>
        <v>25.6369711597</v>
      </c>
      <c r="D5" s="46">
        <v>76311.278342000005</v>
      </c>
      <c r="E5" s="49">
        <f t="shared" si="2"/>
        <v>7.6311278342000008</v>
      </c>
      <c r="F5" s="16">
        <f t="shared" si="0"/>
        <v>0.29766105311986857</v>
      </c>
      <c r="G5" s="17">
        <f t="shared" si="3"/>
        <v>18.005843325499999</v>
      </c>
      <c r="H5" s="14">
        <f t="shared" si="4"/>
        <v>216.070119906</v>
      </c>
      <c r="I5" s="14">
        <v>196</v>
      </c>
      <c r="J5" s="14">
        <f t="shared" ref="J5:J21" si="5">H5-I5</f>
        <v>20.070119906000002</v>
      </c>
      <c r="K5" s="55"/>
      <c r="S5" s="51"/>
    </row>
    <row r="6" spans="1:19" x14ac:dyDescent="0.25">
      <c r="A6" s="13" t="s">
        <v>21</v>
      </c>
      <c r="B6" s="46">
        <v>690510.08741699997</v>
      </c>
      <c r="C6" s="14">
        <f t="shared" si="1"/>
        <v>69.051008741700002</v>
      </c>
      <c r="D6" s="46">
        <v>138112.65684939999</v>
      </c>
      <c r="E6" s="49">
        <f t="shared" si="2"/>
        <v>13.811265684939999</v>
      </c>
      <c r="F6" s="16">
        <f t="shared" si="0"/>
        <v>0.20001540798055503</v>
      </c>
      <c r="G6" s="17">
        <f t="shared" si="3"/>
        <v>55.239743056760005</v>
      </c>
      <c r="H6" s="14">
        <f t="shared" si="4"/>
        <v>662.87691668112006</v>
      </c>
      <c r="I6" s="14">
        <v>61</v>
      </c>
      <c r="J6" s="14">
        <f t="shared" si="5"/>
        <v>601.87691668112006</v>
      </c>
      <c r="K6" s="55"/>
      <c r="S6" s="51"/>
    </row>
    <row r="7" spans="1:19" x14ac:dyDescent="0.25">
      <c r="A7" s="13" t="s">
        <v>22</v>
      </c>
      <c r="B7" s="46">
        <v>169772.135186</v>
      </c>
      <c r="C7" s="14">
        <f t="shared" si="1"/>
        <v>16.977213518599999</v>
      </c>
      <c r="D7" s="46">
        <v>34020.465459200001</v>
      </c>
      <c r="E7" s="49">
        <f>SUM(D7/10000)</f>
        <v>3.4020465459200002</v>
      </c>
      <c r="F7" s="16">
        <f t="shared" si="0"/>
        <v>0.2003889826909914</v>
      </c>
      <c r="G7" s="17">
        <f t="shared" si="3"/>
        <v>13.575166972679998</v>
      </c>
      <c r="H7" s="14">
        <v>376</v>
      </c>
      <c r="I7" s="14">
        <v>401</v>
      </c>
      <c r="J7" s="14"/>
      <c r="K7" s="55"/>
      <c r="N7" s="51"/>
      <c r="S7" s="51"/>
    </row>
    <row r="8" spans="1:19" x14ac:dyDescent="0.25">
      <c r="A8" s="13" t="s">
        <v>7</v>
      </c>
      <c r="B8" s="46">
        <v>62701.293654000001</v>
      </c>
      <c r="C8" s="14">
        <f t="shared" si="1"/>
        <v>6.2701293653999999</v>
      </c>
      <c r="D8" s="46">
        <v>12540.2</v>
      </c>
      <c r="E8" s="49">
        <f t="shared" si="2"/>
        <v>1.2540200000000001</v>
      </c>
      <c r="F8" s="16">
        <f t="shared" si="0"/>
        <v>0.19999906332395115</v>
      </c>
      <c r="G8" s="17">
        <f t="shared" si="3"/>
        <v>5.0161093654000002</v>
      </c>
      <c r="H8" s="14">
        <f t="shared" si="4"/>
        <v>60.193312384800002</v>
      </c>
      <c r="I8" s="14">
        <v>68</v>
      </c>
      <c r="J8" s="14"/>
      <c r="K8" s="55"/>
      <c r="N8" s="51"/>
      <c r="S8" s="51"/>
    </row>
    <row r="9" spans="1:19" x14ac:dyDescent="0.25">
      <c r="A9" s="13" t="s">
        <v>6</v>
      </c>
      <c r="B9" s="46">
        <v>150362.650704</v>
      </c>
      <c r="C9" s="14">
        <f t="shared" si="1"/>
        <v>15.036265070400001</v>
      </c>
      <c r="D9" s="46">
        <v>30072.530140800001</v>
      </c>
      <c r="E9" s="49">
        <f t="shared" si="2"/>
        <v>3.0072530140800002</v>
      </c>
      <c r="F9" s="16">
        <f t="shared" si="0"/>
        <v>0.2</v>
      </c>
      <c r="G9" s="17">
        <f t="shared" si="3"/>
        <v>12.029012056320001</v>
      </c>
      <c r="H9" s="14">
        <f t="shared" si="4"/>
        <v>144.34814467584002</v>
      </c>
      <c r="I9" s="14">
        <v>137</v>
      </c>
      <c r="J9" s="14">
        <f t="shared" si="5"/>
        <v>7.3481446758400182</v>
      </c>
      <c r="K9" s="55"/>
      <c r="N9" s="51"/>
      <c r="S9" s="51"/>
    </row>
    <row r="10" spans="1:19" x14ac:dyDescent="0.25">
      <c r="A10" s="13" t="s">
        <v>33</v>
      </c>
      <c r="B10" s="46">
        <v>134025.431557</v>
      </c>
      <c r="C10" s="14">
        <f t="shared" si="1"/>
        <v>13.4025431557</v>
      </c>
      <c r="D10" s="46">
        <v>26805.086311400002</v>
      </c>
      <c r="E10" s="49">
        <f t="shared" si="2"/>
        <v>2.6805086311400004</v>
      </c>
      <c r="F10" s="16">
        <f t="shared" si="0"/>
        <v>0.20000000000000004</v>
      </c>
      <c r="G10" s="17">
        <f t="shared" si="3"/>
        <v>10.72203452456</v>
      </c>
      <c r="H10" s="14">
        <f t="shared" si="4"/>
        <v>128.66441429471999</v>
      </c>
      <c r="I10" s="14">
        <v>1</v>
      </c>
      <c r="J10" s="14">
        <f t="shared" si="5"/>
        <v>127.66441429471999</v>
      </c>
      <c r="K10" s="55"/>
      <c r="N10" s="51"/>
      <c r="S10" s="51"/>
    </row>
    <row r="11" spans="1:19" x14ac:dyDescent="0.25">
      <c r="A11" s="13" t="s">
        <v>1</v>
      </c>
      <c r="B11" s="46">
        <v>59434.235542000002</v>
      </c>
      <c r="C11" s="14">
        <f t="shared" si="1"/>
        <v>5.9434235541999998</v>
      </c>
      <c r="D11" s="46">
        <v>11885.8214948</v>
      </c>
      <c r="E11" s="49">
        <f>SUM(D11/10000)</f>
        <v>1.18858214948</v>
      </c>
      <c r="F11" s="16">
        <f t="shared" si="0"/>
        <v>0.19998274372353497</v>
      </c>
      <c r="G11" s="17">
        <f t="shared" si="3"/>
        <v>4.7548414047199996</v>
      </c>
      <c r="H11" s="14">
        <f t="shared" si="4"/>
        <v>57.058096856639992</v>
      </c>
      <c r="I11" s="14">
        <v>36</v>
      </c>
      <c r="J11" s="14">
        <f t="shared" si="5"/>
        <v>21.058096856639992</v>
      </c>
      <c r="K11" s="55"/>
      <c r="N11" s="51"/>
    </row>
    <row r="12" spans="1:19" x14ac:dyDescent="0.25">
      <c r="A12" s="13" t="s">
        <v>0</v>
      </c>
      <c r="B12" s="46">
        <v>155338.66628599999</v>
      </c>
      <c r="C12" s="14">
        <f t="shared" si="1"/>
        <v>15.533866628599998</v>
      </c>
      <c r="D12" s="46">
        <v>31067.607999400003</v>
      </c>
      <c r="E12" s="49">
        <f t="shared" si="2"/>
        <v>3.1067607999400004</v>
      </c>
      <c r="F12" s="16">
        <f t="shared" si="0"/>
        <v>0.19999919364699731</v>
      </c>
      <c r="G12" s="17">
        <f t="shared" si="3"/>
        <v>12.427105828659998</v>
      </c>
      <c r="H12" s="14">
        <f t="shared" si="4"/>
        <v>149.12526994391999</v>
      </c>
      <c r="I12" s="14">
        <v>82</v>
      </c>
      <c r="J12" s="14">
        <f t="shared" si="5"/>
        <v>67.125269943919989</v>
      </c>
      <c r="K12" s="55"/>
    </row>
    <row r="13" spans="1:19" x14ac:dyDescent="0.25">
      <c r="A13" s="19" t="s">
        <v>10</v>
      </c>
      <c r="B13" s="47"/>
      <c r="C13" s="20"/>
      <c r="D13" s="47"/>
      <c r="E13" s="50"/>
      <c r="F13" s="23"/>
      <c r="G13" s="24"/>
      <c r="H13" s="43"/>
      <c r="I13" s="43"/>
      <c r="J13" s="14">
        <f t="shared" si="5"/>
        <v>0</v>
      </c>
      <c r="K13" s="55"/>
    </row>
    <row r="14" spans="1:19" x14ac:dyDescent="0.25">
      <c r="A14" s="13" t="s">
        <v>23</v>
      </c>
      <c r="B14" s="46">
        <v>378466.59581999999</v>
      </c>
      <c r="C14" s="14">
        <f t="shared" si="1"/>
        <v>37.846659582000001</v>
      </c>
      <c r="D14" s="46">
        <v>75887.199999999997</v>
      </c>
      <c r="E14" s="49">
        <f t="shared" si="2"/>
        <v>7.5887199999999995</v>
      </c>
      <c r="F14" s="29">
        <f>SUM(E14/C14)</f>
        <v>0.20051227991622331</v>
      </c>
      <c r="G14" s="17">
        <f t="shared" si="3"/>
        <v>30.257939582000002</v>
      </c>
      <c r="H14" s="14">
        <f t="shared" si="4"/>
        <v>363.09527498400001</v>
      </c>
      <c r="I14" s="14">
        <v>162</v>
      </c>
      <c r="J14" s="14">
        <f t="shared" si="5"/>
        <v>201.09527498400001</v>
      </c>
      <c r="K14" s="55"/>
      <c r="N14" s="51"/>
    </row>
    <row r="15" spans="1:19" x14ac:dyDescent="0.25">
      <c r="A15" s="13" t="s">
        <v>24</v>
      </c>
      <c r="B15" s="46">
        <v>807040.54444099998</v>
      </c>
      <c r="C15" s="14">
        <f t="shared" si="1"/>
        <v>80.704054444099995</v>
      </c>
      <c r="D15" s="46">
        <v>278781.36254100001</v>
      </c>
      <c r="E15" s="49">
        <f t="shared" si="2"/>
        <v>27.878136254099999</v>
      </c>
      <c r="F15" s="29">
        <f>SUM(E15/C15)</f>
        <v>0.3454366257820406</v>
      </c>
      <c r="G15" s="17">
        <f t="shared" si="3"/>
        <v>52.825918189999996</v>
      </c>
      <c r="H15" s="14">
        <f t="shared" si="4"/>
        <v>633.91101828000001</v>
      </c>
      <c r="I15" s="14">
        <v>637</v>
      </c>
      <c r="J15" s="14"/>
      <c r="K15" s="55"/>
    </row>
    <row r="16" spans="1:19" x14ac:dyDescent="0.25">
      <c r="A16" s="13" t="s">
        <v>25</v>
      </c>
      <c r="B16" s="46">
        <v>878032.50700999994</v>
      </c>
      <c r="C16" s="14">
        <f t="shared" si="1"/>
        <v>87.803250700999996</v>
      </c>
      <c r="D16" s="46">
        <v>225990.34571599998</v>
      </c>
      <c r="E16" s="49">
        <f t="shared" si="2"/>
        <v>22.599034571599997</v>
      </c>
      <c r="F16" s="29">
        <f>SUM(E16/C16)</f>
        <v>0.25738266398082932</v>
      </c>
      <c r="G16" s="17">
        <f t="shared" si="3"/>
        <v>65.204216129399995</v>
      </c>
      <c r="H16" s="14">
        <f t="shared" si="4"/>
        <v>782.4505935528</v>
      </c>
      <c r="I16" s="14">
        <v>898</v>
      </c>
      <c r="J16" s="14"/>
      <c r="K16" s="55"/>
    </row>
    <row r="17" spans="1:13" x14ac:dyDescent="0.25">
      <c r="A17" s="19" t="s">
        <v>11</v>
      </c>
      <c r="B17" s="47"/>
      <c r="C17" s="20"/>
      <c r="D17" s="47"/>
      <c r="E17" s="50"/>
      <c r="F17" s="23"/>
      <c r="G17" s="24"/>
      <c r="H17" s="26"/>
      <c r="I17" s="43"/>
      <c r="J17" s="14"/>
      <c r="K17" s="55"/>
    </row>
    <row r="18" spans="1:13" x14ac:dyDescent="0.25">
      <c r="A18" s="13" t="s">
        <v>26</v>
      </c>
      <c r="B18" s="46">
        <v>307532.18674899999</v>
      </c>
      <c r="C18" s="14">
        <f t="shared" si="1"/>
        <v>30.753218674899998</v>
      </c>
      <c r="D18" s="46">
        <v>61512.395749399999</v>
      </c>
      <c r="E18" s="49">
        <f t="shared" si="2"/>
        <v>6.15123957494</v>
      </c>
      <c r="F18" s="16">
        <f>SUM(E18/C18)</f>
        <v>0.20001937488125388</v>
      </c>
      <c r="G18" s="17">
        <f t="shared" si="3"/>
        <v>24.601979099959998</v>
      </c>
      <c r="H18" s="14">
        <f t="shared" si="4"/>
        <v>295.22374919951994</v>
      </c>
      <c r="I18" s="14">
        <v>177</v>
      </c>
      <c r="J18" s="14">
        <f t="shared" si="5"/>
        <v>118.22374919951994</v>
      </c>
      <c r="K18" s="55"/>
    </row>
    <row r="19" spans="1:13" x14ac:dyDescent="0.25">
      <c r="A19" s="13" t="s">
        <v>3</v>
      </c>
      <c r="B19" s="46">
        <v>200437.13983599999</v>
      </c>
      <c r="C19" s="14">
        <f t="shared" si="1"/>
        <v>20.0437139836</v>
      </c>
      <c r="D19" s="46">
        <v>40058.116418800004</v>
      </c>
      <c r="E19" s="49">
        <f t="shared" si="2"/>
        <v>4.0058116418800003</v>
      </c>
      <c r="F19" s="16">
        <f>SUM(E19/C19)</f>
        <v>0.19985376189051599</v>
      </c>
      <c r="G19" s="17">
        <f t="shared" si="3"/>
        <v>16.037902341719999</v>
      </c>
      <c r="H19" s="14">
        <f t="shared" si="4"/>
        <v>192.45482810063999</v>
      </c>
      <c r="I19" s="14">
        <v>5</v>
      </c>
      <c r="J19" s="14">
        <f t="shared" si="5"/>
        <v>187.45482810063999</v>
      </c>
      <c r="K19" s="55"/>
    </row>
    <row r="20" spans="1:13" x14ac:dyDescent="0.25">
      <c r="A20" s="13" t="s">
        <v>8</v>
      </c>
      <c r="B20" s="46">
        <v>1676045.3735789999</v>
      </c>
      <c r="C20" s="14">
        <f t="shared" si="1"/>
        <v>167.6045373579</v>
      </c>
      <c r="D20" s="46">
        <v>501306.09076503944</v>
      </c>
      <c r="E20" s="49">
        <f t="shared" si="2"/>
        <v>50.130609076503944</v>
      </c>
      <c r="F20" s="16">
        <f>SUM(E20/C20)</f>
        <v>0.29910054862927643</v>
      </c>
      <c r="G20" s="17">
        <f t="shared" si="3"/>
        <v>117.47392828139606</v>
      </c>
      <c r="H20" s="14">
        <f t="shared" si="4"/>
        <v>1409.6871393767526</v>
      </c>
      <c r="I20" s="14">
        <v>1411</v>
      </c>
      <c r="J20" s="14"/>
      <c r="K20" s="55"/>
    </row>
    <row r="21" spans="1:13" x14ac:dyDescent="0.25">
      <c r="A21" s="13" t="s">
        <v>27</v>
      </c>
      <c r="B21" s="46">
        <v>1256295.495254</v>
      </c>
      <c r="C21" s="14">
        <f t="shared" si="1"/>
        <v>125.62954952539999</v>
      </c>
      <c r="D21" s="46">
        <v>251366.69855280002</v>
      </c>
      <c r="E21" s="49">
        <f t="shared" si="2"/>
        <v>25.136669855280001</v>
      </c>
      <c r="F21" s="16">
        <f>SUM(E21/C21)</f>
        <v>0.20008564824311359</v>
      </c>
      <c r="G21" s="17">
        <f t="shared" si="3"/>
        <v>100.49287967011999</v>
      </c>
      <c r="H21" s="14">
        <f t="shared" si="4"/>
        <v>1205.9145560414399</v>
      </c>
      <c r="I21" s="30">
        <v>313</v>
      </c>
      <c r="J21" s="14">
        <f t="shared" si="5"/>
        <v>892.91455604143994</v>
      </c>
      <c r="K21" s="55"/>
    </row>
    <row r="22" spans="1:13" x14ac:dyDescent="0.25">
      <c r="A22" s="4" t="s">
        <v>4</v>
      </c>
      <c r="B22" s="48">
        <f>SUM(B3:B21)</f>
        <v>7966376.3442050004</v>
      </c>
      <c r="C22" s="27">
        <f>SUM(C3:C21)</f>
        <v>796.63763442049992</v>
      </c>
      <c r="D22" s="48">
        <f>SUM(D3:D21)</f>
        <v>1975207.2920490394</v>
      </c>
      <c r="E22" s="27">
        <f>SUM(E3:E21)</f>
        <v>197.52072920490394</v>
      </c>
      <c r="F22" s="11"/>
      <c r="G22" s="27">
        <f>SUM(G3:G21)</f>
        <v>599.11690521559603</v>
      </c>
      <c r="H22" s="11">
        <f>SUM(H3:H21)</f>
        <v>7402.500858914992</v>
      </c>
      <c r="I22" s="11">
        <f>SUM(I3:I21)</f>
        <v>5397</v>
      </c>
      <c r="J22" s="11">
        <f>SUMIFS(J3:J21,J3:J21,"&gt;0")</f>
        <v>2244.8313706838399</v>
      </c>
      <c r="K22" s="3"/>
      <c r="L22" s="3"/>
      <c r="M22" s="3"/>
    </row>
    <row r="23" spans="1:13" x14ac:dyDescent="0.25">
      <c r="B23" s="3"/>
      <c r="C23" s="3"/>
      <c r="D23" s="3"/>
      <c r="E23" s="3"/>
      <c r="F23" s="3"/>
      <c r="G23" s="3"/>
      <c r="H23" s="3"/>
    </row>
  </sheetData>
  <pageMargins left="0.7" right="0.7" top="0.75" bottom="0.75" header="0.3" footer="0.3"/>
  <pageSetup paperSize="9" scale="53"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Notes</vt:lpstr>
      <vt:lpstr>MDRS</vt:lpstr>
      <vt:lpstr>CRD</vt:lpstr>
      <vt:lpstr>APRIL 2024</vt:lpstr>
      <vt:lpstr>QUARTER   - OCT 2022 RES</vt:lpstr>
      <vt:lpstr>QUARTER 1 - JUL-SEP 2022 RES</vt:lpstr>
      <vt:lpstr>QUARTER 3 - JAN-MAR 2022 RES</vt:lpstr>
      <vt:lpstr>QUARTER 1 - JUL-SEPT 2021 RES</vt:lpstr>
      <vt:lpstr>QUARTER 4 - APR-JUN 2021 RES</vt:lpstr>
      <vt:lpstr>QUARTER 3 - JAN-MAR 2021 RES</vt:lpstr>
      <vt:lpstr>QUARTER 2 - OCT-DEC 2020 RES</vt:lpstr>
      <vt:lpstr>QUARTER 1 - JUL-SEPT 2020 RES</vt:lpstr>
      <vt:lpstr>QUARTER 4 - APR-JUN 2020 RES</vt:lpstr>
      <vt:lpstr>QUARTER 3 - JAN-MAR 2020 RES</vt:lpstr>
      <vt:lpstr>QUARTER 2 - OCT-DEC 2019 RES</vt:lpstr>
      <vt:lpstr>QUARTER 1 - JUL-SEPY 2019 RES</vt:lpstr>
      <vt:lpstr>QUARTER 4 - APR-JUN 2019 RES</vt:lpstr>
      <vt:lpstr>QUARTER 3 - JAN-MAR 2019 RES</vt:lpstr>
      <vt:lpstr>QUARTER 2 - OCT-DEC 2018 RES</vt:lpstr>
      <vt:lpstr>QUARTER 1 - JUL-SEPT 2018 RES</vt:lpstr>
      <vt:lpstr>QUARTER 4 - APR-JUN 2018 RES</vt:lpstr>
      <vt:lpstr>QUARTER 3 - JAN-MAR 2018 RES</vt:lpstr>
      <vt:lpstr>QUARTER 2- OCT-DEC 2017 RES</vt:lpstr>
      <vt:lpstr>QUARTER 1-JULY - SEPT 2017 RES</vt:lpstr>
      <vt:lpstr>QUARTER 4 - APR - JUNE 2017 RES</vt:lpstr>
      <vt:lpstr>QUARTER 3 - JAN - MAR 2017 RES </vt:lpstr>
      <vt:lpstr>QUARTER 2 - OCT to DEC 2016 RES</vt:lpstr>
      <vt:lpstr>QUARTER 1 - JUL - SEP 2016 RES</vt:lpstr>
      <vt:lpstr>Appendix 1</vt:lpstr>
    </vt:vector>
  </TitlesOfParts>
  <Company>Waimakariri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Jochen Stoll</dc:creator>
  <cp:lastModifiedBy>Peter Wilson</cp:lastModifiedBy>
  <cp:lastPrinted>2018-01-21T22:04:22Z</cp:lastPrinted>
  <dcterms:created xsi:type="dcterms:W3CDTF">2016-07-19T23:03:05Z</dcterms:created>
  <dcterms:modified xsi:type="dcterms:W3CDTF">2024-05-27T04:26:58Z</dcterms:modified>
</cp:coreProperties>
</file>